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E870781A-41F2-4FC6-BBED-7C144D045E7F}" xr6:coauthVersionLast="47" xr6:coauthVersionMax="47" xr10:uidLastSave="{00000000-0000-0000-0000-000000000000}"/>
  <workbookProtection workbookAlgorithmName="SHA-512" workbookHashValue="Las3FxFAs6BSQWlCIIseZncMxtwOkxlKN1rBQHF9KN7GywHPFDMBtWeBIyZjMPTf3tKCgYuMc725+0i6yQxkGA==" workbookSaltValue="+PpNUC6L3Bdtzqf3QWlQzA==" workbookSpinCount="100000" lockStructure="1"/>
  <bookViews>
    <workbookView xWindow="-1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Sep. - New Basic Rates" sheetId="15" state="hidden" r:id="rId6"/>
    <sheet name="Pwr Factor" sheetId="2" state="hidden" r:id="rId7"/>
    <sheet name="Dates" sheetId="3" state="hidden" r:id="rId8"/>
  </sheets>
  <definedNames>
    <definedName name="_xlnm.Print_Area" localSheetId="5">'Calc. Sep. - New Basic Rates'!$A$1:$AB$995</definedName>
    <definedName name="_xlnm.Print_Titles" localSheetId="5">'Calc. Sep. - New Basic Rates'!$1:$39</definedName>
    <definedName name="_xlnm.Print_Titles" localSheetId="7">Dates!$A:$B</definedName>
    <definedName name="solver_adj" localSheetId="5" hidden="1">'Calc. Sep. - New Basic Rates'!#REF!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Sep. - New Basic Rates'!#REF!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1" l="1"/>
  <c r="C27" i="10" a="1"/>
  <c r="C27" i="10" s="1"/>
  <c r="B108" i="15" l="1"/>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B862" i="15"/>
  <c r="B860" i="15"/>
  <c r="B858" i="15"/>
  <c r="B856" i="15"/>
  <c r="AC864" i="15"/>
  <c r="AB864" i="15"/>
  <c r="AC862" i="15"/>
  <c r="AB862" i="15"/>
  <c r="AC860" i="15"/>
  <c r="AB860" i="15"/>
  <c r="AC858" i="15"/>
  <c r="AB858" i="15"/>
  <c r="AC856" i="15"/>
  <c r="AB856" i="15"/>
  <c r="B1" i="10"/>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C62" i="11"/>
  <c r="C64" i="11"/>
  <c r="C56" i="11"/>
  <c r="H67" i="11"/>
  <c r="J67" i="11" s="1"/>
  <c r="E67" i="11"/>
  <c r="G67" i="11" s="1"/>
  <c r="H66" i="11"/>
  <c r="J66" i="11" s="1"/>
  <c r="E66" i="11"/>
  <c r="G66" i="11" s="1"/>
  <c r="H65" i="11"/>
  <c r="J65" i="11" s="1"/>
  <c r="E65" i="11"/>
  <c r="G65" i="11" s="1"/>
  <c r="H64" i="11"/>
  <c r="J64" i="11" s="1"/>
  <c r="E64" i="11"/>
  <c r="G64" i="11" s="1"/>
  <c r="H63" i="11"/>
  <c r="C63" i="11" s="1"/>
  <c r="E63" i="11"/>
  <c r="G63" i="11" s="1"/>
  <c r="H62" i="11"/>
  <c r="J62" i="11" s="1"/>
  <c r="E62" i="11"/>
  <c r="G62" i="11" s="1"/>
  <c r="H61" i="11"/>
  <c r="J61" i="11" s="1"/>
  <c r="E61" i="11"/>
  <c r="G61" i="11" s="1"/>
  <c r="H60" i="11"/>
  <c r="J60" i="11" s="1"/>
  <c r="E60" i="11"/>
  <c r="G60" i="11" s="1"/>
  <c r="H59" i="11"/>
  <c r="J59" i="11" s="1"/>
  <c r="E59" i="11"/>
  <c r="G59" i="11" s="1"/>
  <c r="H58" i="11"/>
  <c r="J58" i="11" s="1"/>
  <c r="E58" i="11"/>
  <c r="G58" i="11" s="1"/>
  <c r="J57" i="11"/>
  <c r="E57" i="11"/>
  <c r="C57" i="11" s="1"/>
  <c r="J56" i="11"/>
  <c r="G56" i="11"/>
  <c r="K420" i="15"/>
  <c r="J420" i="15"/>
  <c r="M70" i="15"/>
  <c r="L70" i="15"/>
  <c r="K70" i="15"/>
  <c r="J70" i="15"/>
  <c r="F70" i="15"/>
  <c r="J63" i="11" l="1"/>
  <c r="C61" i="11"/>
  <c r="C60" i="11"/>
  <c r="C59" i="11"/>
  <c r="G57" i="11"/>
  <c r="C58" i="11"/>
  <c r="C67" i="11"/>
  <c r="C66" i="11"/>
  <c r="C65" i="11"/>
  <c r="V286" i="15"/>
  <c r="V862" i="15"/>
  <c r="V864" i="15"/>
  <c r="V856" i="15"/>
  <c r="V858" i="15"/>
  <c r="J858" i="15"/>
  <c r="V860" i="15"/>
  <c r="H860" i="15"/>
  <c r="H858" i="15"/>
  <c r="K858" i="15"/>
  <c r="N858" i="15" s="1"/>
  <c r="H856" i="15"/>
  <c r="J856" i="15"/>
  <c r="K856" i="15"/>
  <c r="N856" i="15" s="1"/>
  <c r="M856" i="15"/>
  <c r="L856" i="15"/>
  <c r="L864" i="15"/>
  <c r="M864" i="15"/>
  <c r="M858" i="15"/>
  <c r="L858" i="15"/>
  <c r="M862" i="15"/>
  <c r="Q862" i="15" s="1"/>
  <c r="J860" i="15"/>
  <c r="H862" i="15"/>
  <c r="K860" i="15"/>
  <c r="N860" i="15" s="1"/>
  <c r="J862" i="15"/>
  <c r="H864" i="15"/>
  <c r="L860" i="15"/>
  <c r="Q860" i="15" s="1"/>
  <c r="K862" i="15"/>
  <c r="N862" i="15" s="1"/>
  <c r="J864" i="15"/>
  <c r="K864" i="15"/>
  <c r="N864" i="15" s="1"/>
  <c r="V546" i="15"/>
  <c r="V392" i="15"/>
  <c r="V284" i="15"/>
  <c r="V290" i="15"/>
  <c r="V186" i="15"/>
  <c r="V182" i="15"/>
  <c r="V184" i="15"/>
  <c r="V554" i="15"/>
  <c r="H290" i="15"/>
  <c r="K290" i="15"/>
  <c r="N290" i="15" s="1"/>
  <c r="V178" i="15"/>
  <c r="V180" i="15"/>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856" i="15" l="1"/>
  <c r="Q969" i="15"/>
  <c r="Q858" i="15"/>
  <c r="Q864" i="15"/>
  <c r="R862" i="15"/>
  <c r="G862" i="15" s="1"/>
  <c r="R864" i="15"/>
  <c r="G864" i="15" s="1"/>
  <c r="R856" i="15"/>
  <c r="R860" i="15"/>
  <c r="G860" i="15" s="1"/>
  <c r="R858" i="15"/>
  <c r="G858" i="15" s="1"/>
  <c r="N180" i="15"/>
  <c r="L759" i="15"/>
  <c r="K759" i="15"/>
  <c r="N186" i="15"/>
  <c r="N178" i="15"/>
  <c r="M759" i="15"/>
  <c r="Q759" i="1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N755" i="15"/>
  <c r="N396" i="15"/>
  <c r="N398" i="15"/>
  <c r="R757" i="15"/>
  <c r="P756" i="15" s="1"/>
  <c r="G757" i="15" s="1"/>
  <c r="N753" i="15"/>
  <c r="R751" i="15"/>
  <c r="P750" i="15" s="1"/>
  <c r="G751" i="15" s="1"/>
  <c r="R755" i="15"/>
  <c r="P754" i="15" s="1"/>
  <c r="G755" i="15" s="1"/>
  <c r="R753" i="15"/>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W210" i="15" l="1"/>
  <c r="AA856" i="15"/>
  <c r="AA860" i="15"/>
  <c r="AA862" i="15"/>
  <c r="AA864" i="15"/>
  <c r="AA858" i="15"/>
  <c r="U864" i="15"/>
  <c r="U860" i="15"/>
  <c r="U862" i="15"/>
  <c r="U856" i="15"/>
  <c r="U858" i="15"/>
  <c r="X876" i="15"/>
  <c r="X862" i="15"/>
  <c r="X858" i="15"/>
  <c r="X860" i="15"/>
  <c r="X864" i="15"/>
  <c r="X856" i="15"/>
  <c r="Y864" i="15"/>
  <c r="Y856" i="15"/>
  <c r="Y858" i="15"/>
  <c r="Y860" i="15"/>
  <c r="Y862" i="15"/>
  <c r="Z862" i="15"/>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5" i="15"/>
  <c r="X963" i="15"/>
  <c r="X967" i="15"/>
  <c r="X961" i="15"/>
  <c r="X969"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893"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X887"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X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941" i="15"/>
  <c r="X955" i="15"/>
  <c r="X917" i="15"/>
  <c r="X937" i="15"/>
  <c r="X895" i="15"/>
  <c r="X947" i="15"/>
  <c r="X939" i="15"/>
  <c r="X931" i="15"/>
  <c r="X925" i="15"/>
  <c r="X891" i="15"/>
  <c r="X953" i="15"/>
  <c r="X911" i="15"/>
  <c r="X883" i="15"/>
  <c r="X901" i="15"/>
  <c r="X909" i="15"/>
  <c r="X881" i="15"/>
  <c r="V895" i="15"/>
  <c r="U897" i="15"/>
  <c r="K897" i="15"/>
  <c r="J897" i="15"/>
  <c r="H897" i="15"/>
  <c r="X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X949"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X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X921" i="15"/>
  <c r="V921" i="15"/>
  <c r="U931" i="15"/>
  <c r="M985" i="15"/>
  <c r="R985" i="15" s="1"/>
  <c r="H903" i="15"/>
  <c r="X903" i="15"/>
  <c r="U903" i="15"/>
  <c r="U907" i="15"/>
  <c r="K907" i="15"/>
  <c r="N907" i="15" s="1"/>
  <c r="J907" i="15"/>
  <c r="M911" i="15"/>
  <c r="L911" i="15"/>
  <c r="X913"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X907" i="15"/>
  <c r="X915" i="15"/>
  <c r="L923" i="15"/>
  <c r="Q923" i="15" s="1"/>
  <c r="V937" i="15"/>
  <c r="X943" i="15"/>
  <c r="J943" i="15"/>
  <c r="K943" i="15"/>
  <c r="H943" i="15"/>
  <c r="V943" i="15"/>
  <c r="J949" i="15"/>
  <c r="H949" i="15"/>
  <c r="K949" i="15"/>
  <c r="N949" i="15" s="1"/>
  <c r="L1009" i="15"/>
  <c r="M1009" i="15"/>
  <c r="J840" i="15"/>
  <c r="J887" i="15"/>
  <c r="J891" i="15"/>
  <c r="X899" i="15"/>
  <c r="U901" i="15"/>
  <c r="K903" i="15"/>
  <c r="N903" i="15" s="1"/>
  <c r="J905" i="15"/>
  <c r="H905" i="15"/>
  <c r="X905" i="15"/>
  <c r="H907" i="15"/>
  <c r="V909" i="15"/>
  <c r="H919" i="15"/>
  <c r="X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X951" i="15"/>
  <c r="U985" i="15"/>
  <c r="J1023" i="15"/>
  <c r="K1023" i="15"/>
  <c r="N1023" i="15" s="1"/>
  <c r="V1023" i="15"/>
  <c r="H1023" i="15"/>
  <c r="U1023" i="15"/>
  <c r="J895" i="15"/>
  <c r="V899" i="15"/>
  <c r="H909" i="15"/>
  <c r="J911" i="15"/>
  <c r="K913" i="15"/>
  <c r="N913" i="15" s="1"/>
  <c r="U913" i="15"/>
  <c r="L915" i="15"/>
  <c r="Q915" i="15" s="1"/>
  <c r="V915" i="15"/>
  <c r="H925" i="15"/>
  <c r="X933"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X929" i="15"/>
  <c r="U929" i="15"/>
  <c r="K929" i="15"/>
  <c r="N929" i="15" s="1"/>
  <c r="U935" i="15"/>
  <c r="K935" i="15"/>
  <c r="J935" i="15"/>
  <c r="H935" i="15"/>
  <c r="X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X957"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W790" i="15" l="1"/>
  <c r="W858" i="15"/>
  <c r="W860" i="15"/>
  <c r="W864" i="15"/>
  <c r="W862" i="15"/>
  <c r="W856" i="15"/>
  <c r="D34" i="10"/>
  <c r="D36" i="10"/>
  <c r="D28" i="10"/>
  <c r="D38" i="10"/>
  <c r="D37" i="10"/>
  <c r="D39"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D27" i="10" s="1"/>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D40" i="10" s="1"/>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D29" i="10" s="1"/>
  <c r="Q583" i="15"/>
  <c r="V980" i="15"/>
  <c r="AB794" i="15"/>
  <c r="AB792" i="15"/>
  <c r="AB776" i="15"/>
  <c r="AB771" i="15"/>
  <c r="AB790" i="15"/>
  <c r="V778" i="15"/>
  <c r="D35" i="10" s="1"/>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C55" i="11"/>
  <c r="C54" i="11"/>
  <c r="C53" i="11"/>
  <c r="C52" i="11"/>
  <c r="C51" i="11"/>
  <c r="C50" i="11"/>
  <c r="C48" i="11"/>
  <c r="C47" i="11"/>
  <c r="C68" i="11"/>
  <c r="C69" i="11"/>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C49" i="11" l="1"/>
  <c r="G778" i="15"/>
  <c r="D30" i="10"/>
  <c r="G128" i="15"/>
  <c r="G180" i="15"/>
  <c r="G184" i="15"/>
  <c r="G186" i="15"/>
  <c r="G104" i="15"/>
  <c r="G182" i="15"/>
  <c r="G178" i="15"/>
  <c r="G380" i="15"/>
  <c r="G394" i="1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Z1176" i="15"/>
  <c r="Z1178" i="15"/>
  <c r="Z1172" i="15"/>
  <c r="Z1174" i="15"/>
  <c r="X1174" i="15"/>
  <c r="X1176" i="15"/>
  <c r="X1172" i="15"/>
  <c r="X1178" i="15"/>
  <c r="X1180" i="15"/>
  <c r="W1077" i="15"/>
  <c r="W1075" i="15"/>
  <c r="W1081" i="15"/>
  <c r="W1083" i="15"/>
  <c r="W1079" i="15"/>
  <c r="AA1174" i="15"/>
  <c r="AA1172" i="15"/>
  <c r="AA1178" i="15"/>
  <c r="AA1176" i="15"/>
  <c r="AA1180" i="15"/>
  <c r="AB1081" i="15"/>
  <c r="AB1083" i="15"/>
  <c r="AB1077" i="15"/>
  <c r="AB1075" i="15"/>
  <c r="AB1079" i="15"/>
  <c r="Y1174" i="15"/>
  <c r="Y1180" i="15"/>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L731" i="15"/>
  <c r="R731" i="15" s="1"/>
  <c r="P730" i="15" s="1"/>
  <c r="G731" i="15" s="1"/>
  <c r="L730" i="15"/>
  <c r="N366" i="1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C44" i="11"/>
  <c r="J45" i="11"/>
  <c r="S856" i="15" l="1"/>
  <c r="S862" i="15"/>
  <c r="S858" i="15"/>
  <c r="S864" i="15"/>
  <c r="S860" i="15"/>
  <c r="D41" i="10"/>
  <c r="D42" i="10" s="1"/>
  <c r="T858" i="15"/>
  <c r="T856" i="15"/>
  <c r="T864" i="15"/>
  <c r="T862" i="15"/>
  <c r="T860" i="15"/>
  <c r="G657" i="15"/>
  <c r="G544" i="15"/>
  <c r="G651" i="15"/>
  <c r="P752" i="15"/>
  <c r="G753" i="15" s="1"/>
  <c r="P722" i="15"/>
  <c r="G723" i="15" s="1"/>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D32" i="10" s="1"/>
  <c r="N697" i="15"/>
  <c r="R697" i="15"/>
  <c r="P696" i="15" s="1"/>
  <c r="G697" i="15" s="1"/>
  <c r="N681" i="15"/>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D33" i="10" s="1"/>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C72" i="11"/>
  <c r="A13" i="10" s="1"/>
  <c r="C30" i="10" a="1"/>
  <c r="C30" i="10" s="1"/>
  <c r="P680" i="15" l="1"/>
  <c r="G681" i="15" s="1"/>
  <c r="G949" i="15"/>
  <c r="G828" i="15"/>
  <c r="S1079" i="15"/>
  <c r="S1172" i="15"/>
  <c r="S1075" i="15"/>
  <c r="S1081" i="15"/>
  <c r="S1176" i="15"/>
  <c r="S1180" i="15"/>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C28" i="10" a="1"/>
  <c r="C28" i="10" s="1"/>
  <c r="G1180"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C16" i="3" s="1"/>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s="1"/>
  <c r="P14" i="3"/>
  <c r="S14" i="3"/>
  <c r="V14" i="3"/>
  <c r="Y14" i="3"/>
  <c r="Z14" i="3" s="1"/>
  <c r="AB14" i="3"/>
  <c r="AE14" i="3"/>
  <c r="AH14" i="3"/>
  <c r="AL14" i="3"/>
  <c r="AM14" i="3" s="1"/>
  <c r="AN14" i="3"/>
  <c r="AP14" i="3"/>
  <c r="AR14" i="3"/>
  <c r="AT14" i="3"/>
  <c r="AU14" i="3" s="1"/>
  <c r="AV14" i="3"/>
  <c r="AX14" i="3"/>
  <c r="AZ14" i="3"/>
  <c r="BB14" i="3"/>
  <c r="BC14" i="3" s="1"/>
  <c r="BD14" i="3"/>
  <c r="BF14" i="3"/>
  <c r="BH14" i="3"/>
  <c r="BJ14" i="3"/>
  <c r="BK14" i="3" s="1"/>
  <c r="BL14" i="3"/>
  <c r="BN14" i="3"/>
  <c r="BP14" i="3"/>
  <c r="BR14" i="3"/>
  <c r="BS14" i="3" s="1"/>
  <c r="BT14" i="3"/>
  <c r="BV14" i="3"/>
  <c r="BX14" i="3"/>
  <c r="BZ14" i="3"/>
  <c r="CA14" i="3" s="1"/>
  <c r="CB14" i="3"/>
  <c r="CD14" i="3"/>
  <c r="CF14" i="3"/>
  <c r="CH14" i="3"/>
  <c r="CI14" i="3"/>
  <c r="CJ14" i="3"/>
  <c r="CL14" i="3"/>
  <c r="CN14" i="3"/>
  <c r="CP14" i="3"/>
  <c r="CQ14" i="3" s="1"/>
  <c r="CR14" i="3"/>
  <c r="CT14" i="3"/>
  <c r="CV14" i="3"/>
  <c r="CX14" i="3"/>
  <c r="CY14" i="3" s="1"/>
  <c r="CZ14" i="3"/>
  <c r="DB14" i="3"/>
  <c r="DD14" i="3"/>
  <c r="DF14" i="3"/>
  <c r="DG14" i="3" s="1"/>
  <c r="DH14" i="3"/>
  <c r="DJ14" i="3"/>
  <c r="DL14" i="3"/>
  <c r="DN14" i="3"/>
  <c r="DO14" i="3" s="1"/>
  <c r="DP14" i="3"/>
  <c r="DR14" i="3"/>
  <c r="DT14" i="3"/>
  <c r="DV14" i="3"/>
  <c r="DW14" i="3" s="1"/>
  <c r="DX14" i="3"/>
  <c r="DZ14" i="3"/>
  <c r="EB14" i="3"/>
  <c r="ED14" i="3"/>
  <c r="EE14" i="3" s="1"/>
  <c r="EF14" i="3"/>
  <c r="EH14" i="3"/>
  <c r="EJ14" i="3"/>
  <c r="EL14" i="3"/>
  <c r="EM14" i="3" s="1"/>
  <c r="EN14" i="3"/>
  <c r="EP14" i="3"/>
  <c r="D15" i="3"/>
  <c r="G15" i="3"/>
  <c r="H15" i="3" s="1"/>
  <c r="J15" i="3"/>
  <c r="M15" i="3"/>
  <c r="P15" i="3"/>
  <c r="S15" i="3"/>
  <c r="T15" i="3" s="1"/>
  <c r="V15" i="3"/>
  <c r="Y15" i="3"/>
  <c r="AB15" i="3"/>
  <c r="AC15" i="3" s="1"/>
  <c r="AE15" i="3"/>
  <c r="AF15" i="3" s="1"/>
  <c r="AH15" i="3"/>
  <c r="AL15" i="3"/>
  <c r="AM15" i="3" s="1"/>
  <c r="AN15" i="3"/>
  <c r="AP15" i="3"/>
  <c r="AQ15" i="3" s="1"/>
  <c r="AR15" i="3"/>
  <c r="AT15" i="3"/>
  <c r="AV15" i="3"/>
  <c r="AX15" i="3"/>
  <c r="AY15" i="3" s="1"/>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s="1"/>
  <c r="CN15" i="3"/>
  <c r="CP15" i="3"/>
  <c r="CR15" i="3"/>
  <c r="CT15" i="3"/>
  <c r="CU15" i="3" s="1"/>
  <c r="CV15" i="3"/>
  <c r="CX15" i="3"/>
  <c r="CZ15" i="3"/>
  <c r="DB15" i="3"/>
  <c r="DC15" i="3" s="1"/>
  <c r="DD15" i="3"/>
  <c r="DF15" i="3"/>
  <c r="DG15" i="3" s="1"/>
  <c r="DH15" i="3"/>
  <c r="DJ15" i="3"/>
  <c r="DK15" i="3" s="1"/>
  <c r="DL15" i="3"/>
  <c r="DN15" i="3"/>
  <c r="DP15" i="3"/>
  <c r="DR15" i="3"/>
  <c r="DS15" i="3" s="1"/>
  <c r="DT15" i="3"/>
  <c r="DV15" i="3"/>
  <c r="DX15" i="3"/>
  <c r="DZ15" i="3"/>
  <c r="EA15" i="3" s="1"/>
  <c r="EB15" i="3"/>
  <c r="ED15" i="3"/>
  <c r="EF15" i="3"/>
  <c r="EH15" i="3"/>
  <c r="EI15" i="3" s="1"/>
  <c r="EJ15" i="3"/>
  <c r="EL15" i="3"/>
  <c r="EN15" i="3"/>
  <c r="EP15" i="3"/>
  <c r="EQ15" i="3" s="1"/>
  <c r="D16" i="3"/>
  <c r="G16" i="3"/>
  <c r="J16" i="3"/>
  <c r="M16" i="3"/>
  <c r="N16" i="3"/>
  <c r="P16" i="3"/>
  <c r="S16" i="3"/>
  <c r="V16" i="3"/>
  <c r="W16" i="3" s="1"/>
  <c r="Y16" i="3"/>
  <c r="Z16" i="3" s="1"/>
  <c r="AB16" i="3"/>
  <c r="AE16" i="3"/>
  <c r="AH16" i="3"/>
  <c r="AI16" i="3" s="1"/>
  <c r="AL16" i="3"/>
  <c r="AM16" i="3" s="1"/>
  <c r="AN16" i="3"/>
  <c r="AP16" i="3"/>
  <c r="AR16" i="3"/>
  <c r="AT16" i="3"/>
  <c r="AU16" i="3"/>
  <c r="AV16" i="3"/>
  <c r="AX16" i="3"/>
  <c r="AZ16" i="3"/>
  <c r="BB16" i="3"/>
  <c r="BC16" i="3" s="1"/>
  <c r="BD16" i="3"/>
  <c r="BF16" i="3"/>
  <c r="BH16" i="3"/>
  <c r="BJ16" i="3"/>
  <c r="BK16" i="3" s="1"/>
  <c r="BL16" i="3"/>
  <c r="BN16" i="3"/>
  <c r="BP16" i="3"/>
  <c r="BR16" i="3"/>
  <c r="BS16" i="3" s="1"/>
  <c r="BT16" i="3"/>
  <c r="BV16" i="3"/>
  <c r="BW16" i="3" s="1"/>
  <c r="BX16" i="3"/>
  <c r="BZ16" i="3"/>
  <c r="CA16" i="3"/>
  <c r="CB16" i="3"/>
  <c r="CD16" i="3"/>
  <c r="CF16" i="3"/>
  <c r="CH16" i="3"/>
  <c r="CI16" i="3" s="1"/>
  <c r="CJ16" i="3"/>
  <c r="CL16" i="3"/>
  <c r="CN16" i="3"/>
  <c r="CP16" i="3"/>
  <c r="CQ16" i="3" s="1"/>
  <c r="CR16" i="3"/>
  <c r="CT16" i="3"/>
  <c r="CU16" i="3" s="1"/>
  <c r="CV16" i="3"/>
  <c r="CX16" i="3"/>
  <c r="CY16" i="3" s="1"/>
  <c r="CZ16" i="3"/>
  <c r="DB16" i="3"/>
  <c r="DD16" i="3"/>
  <c r="DF16" i="3"/>
  <c r="DG16" i="3" s="1"/>
  <c r="DH16" i="3"/>
  <c r="DJ16" i="3"/>
  <c r="DL16" i="3"/>
  <c r="DN16" i="3"/>
  <c r="DO16" i="3" s="1"/>
  <c r="DP16" i="3"/>
  <c r="DR16" i="3"/>
  <c r="DT16" i="3"/>
  <c r="DV16" i="3"/>
  <c r="DW16" i="3" s="1"/>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B24" i="3"/>
  <c r="CD24" i="3"/>
  <c r="CE24" i="3" s="1"/>
  <c r="CF24" i="3"/>
  <c r="CH24" i="3"/>
  <c r="CJ24" i="3"/>
  <c r="CL24" i="3"/>
  <c r="CM24" i="3" s="1"/>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s="1"/>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C29" i="3" s="1"/>
  <c r="BD29" i="3"/>
  <c r="BF29" i="3"/>
  <c r="BG29" i="3" s="1"/>
  <c r="BH29" i="3"/>
  <c r="BJ29" i="3"/>
  <c r="BK29" i="3" s="1"/>
  <c r="BL29" i="3"/>
  <c r="BN29" i="3"/>
  <c r="BP29" i="3"/>
  <c r="BR29" i="3"/>
  <c r="BS29" i="3" s="1"/>
  <c r="BT29" i="3"/>
  <c r="BV29" i="3"/>
  <c r="BW29" i="3" s="1"/>
  <c r="BX29" i="3"/>
  <c r="BZ29" i="3"/>
  <c r="CA29" i="3" s="1"/>
  <c r="CB29" i="3"/>
  <c r="CD29" i="3"/>
  <c r="CE29" i="3" s="1"/>
  <c r="CF29" i="3"/>
  <c r="CH29" i="3"/>
  <c r="CI29" i="3" s="1"/>
  <c r="CJ29" i="3"/>
  <c r="CL29" i="3"/>
  <c r="CN29" i="3"/>
  <c r="CP29" i="3"/>
  <c r="CQ29" i="3" s="1"/>
  <c r="CR29" i="3"/>
  <c r="CT29" i="3"/>
  <c r="CV29" i="3"/>
  <c r="CX29" i="3"/>
  <c r="CY29" i="3" s="1"/>
  <c r="CZ29" i="3"/>
  <c r="DB29" i="3"/>
  <c r="DC29" i="3" s="1"/>
  <c r="DD29" i="3"/>
  <c r="DF29" i="3"/>
  <c r="DG29" i="3" s="1"/>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AI15" i="3" l="1"/>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<sst xmlns="http://schemas.openxmlformats.org/spreadsheetml/2006/main" count="1963" uniqueCount="337">
  <si>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</si>
  <si>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</si>
  <si>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</si>
  <si>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</si>
  <si>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</si>
  <si>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</si>
  <si>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</si>
  <si>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</si>
  <si>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</si>
  <si>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</si>
  <si>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</si>
  <si>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</si>
  <si>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</si>
  <si>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</si>
  <si>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</si>
  <si>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</si>
  <si>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</si>
  <si>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</si>
  <si>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</si>
  <si>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</si>
  <si>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</si>
  <si>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</si>
  <si>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</si>
  <si>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</si>
  <si>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</si>
  <si>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</si>
  <si>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</si>
  <si>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</si>
  <si>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</si>
  <si>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</si>
  <si>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</si>
  <si>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</si>
  <si>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</si>
  <si>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</si>
  <si>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</si>
  <si>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</si>
  <si>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</si>
  <si>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</si>
  <si>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</si>
  <si>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</si>
  <si>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</si>
  <si>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</si>
  <si>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</si>
  <si>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</si>
  <si>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</si>
  <si>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</si>
  <si>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</si>
  <si>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</si>
  <si>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</si>
  <si>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</si>
  <si>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</si>
  <si>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</si>
  <si>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</si>
  <si>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</si>
  <si>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</si>
  <si>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</si>
  <si>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</si>
  <si>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</si>
  <si>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</si>
  <si>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</si>
  <si>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</si>
  <si>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</si>
  <si>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</si>
  <si>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</si>
  <si>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</si>
  <si>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</si>
  <si>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</si>
  <si>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</si>
  <si>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</si>
  <si>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</si>
  <si>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</si>
  <si>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</si>
  <si>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</si>
  <si>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</si>
  <si>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</si>
  <si>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</si>
  <si>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</si>
  <si>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</si>
  <si>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</si>
  <si>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</si>
  <si>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</si>
  <si>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</si>
  <si>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</si>
  <si>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</si>
  <si>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</si>
  <si>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</si>
  <si>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</si>
  <si>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</si>
  <si>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</si>
  <si>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</si>
  <si>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</si>
  <si>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</si>
  <si>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</si>
  <si>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</si>
  <si>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</si>
  <si>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</si>
  <si>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</si>
  <si>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</si>
  <si>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</si>
  <si>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</si>
  <si>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</si>
  <si>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</si>
  <si>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</si>
  <si>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</si>
  <si>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</si>
  <si>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</si>
  <si>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</si>
  <si>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</si>
  <si>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</si>
  <si>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</si>
  <si>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</si>
  <si>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</si>
  <si>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</si>
  <si>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</si>
  <si>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</si>
  <si>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</si>
  <si>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</si>
  <si>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</si>
  <si>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</si>
  <si>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</si>
  <si>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</si>
  <si>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</si>
  <si>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</si>
  <si>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</si>
  <si>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</si>
  <si>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</si>
  <si>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</si>
  <si>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</si>
  <si>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</si>
  <si>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</si>
  <si>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</si>
  <si>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</si>
  <si>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</si>
  <si>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</si>
  <si>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</si>
  <si>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</si>
  <si>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</si>
  <si>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</si>
  <si>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</si>
  <si>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</si>
  <si>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</si>
  <si>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</si>
  <si>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</si>
  <si>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</si>
  <si>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</si>
  <si>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</si>
  <si>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</si>
  <si>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</si>
  <si>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</si>
  <si>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</si>
  <si>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</si>
  <si>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</si>
  <si>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</si>
  <si>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</si>
  <si>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</si>
  <si>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</si>
  <si>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</si>
  <si>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</si>
  <si>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</si>
  <si>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</si>
  <si>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</si>
  <si>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</si>
  <si>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</si>
  <si>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</si>
  <si>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</si>
  <si>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</si>
  <si>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</si>
  <si>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</si>
  <si>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</si>
  <si>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</si>
  <si>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</si>
  <si>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</si>
  <si>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</si>
  <si>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</si>
  <si>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</si>
  <si>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</si>
  <si>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</si>
  <si>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</si>
  <si>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</si>
  <si>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</si>
  <si>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</si>
  <si>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</si>
  <si>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</si>
  <si>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</si>
  <si>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</si>
  <si>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</si>
  <si>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</si>
  <si>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</si>
  <si>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</si>
  <si>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</si>
  <si>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</si>
  <si>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</si>
  <si>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</si>
  <si>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</si>
  <si>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</si>
  <si>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</si>
  <si>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</si>
  <si>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</si>
  <si>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</si>
  <si>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</si>
  <si>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</si>
  <si>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</si>
  <si>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</si>
  <si>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</si>
  <si>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</si>
  <si>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</si>
  <si>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</si>
  <si>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</si>
  <si>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</si>
  <si>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</si>
  <si>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</si>
  <si>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</si>
  <si>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</si>
  <si>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</si>
  <si>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</si>
  <si>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</si>
  <si>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</si>
  <si>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</si>
  <si>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</si>
  <si>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</si>
  <si>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</si>
  <si>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</si>
  <si>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</si>
  <si>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</si>
  <si>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</si>
  <si>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</si>
  <si>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</si>
  <si>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</si>
  <si>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</si>
  <si>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</si>
  <si>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</si>
  <si>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</si>
  <si>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</si>
  <si>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</si>
  <si>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</si>
  <si>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</si>
  <si>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</si>
  <si>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</si>
  <si>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</si>
  <si>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</si>
  <si>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</si>
  <si>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</si>
  <si>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</si>
  <si>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</si>
  <si>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</si>
  <si>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</si>
  <si>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</si>
  <si>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</si>
  <si>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</si>
  <si>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</si>
  <si>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</si>
  <si>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</si>
  <si>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</si>
  <si>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</si>
  <si>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</si>
  <si>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</si>
  <si>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</si>
  <si>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</si>
  <si>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</si>
  <si>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</si>
  <si>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</si>
  <si>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</si>
  <si>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</si>
  <si>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</si>
  <si>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</si>
  <si>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</si>
  <si>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</si>
  <si>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</si>
  <si>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</si>
  <si>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</si>
  <si>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</si>
  <si>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</si>
  <si>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</si>
  <si>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</si>
  <si>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</si>
  <si>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</si>
  <si>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</si>
  <si>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</si>
  <si>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</si>
  <si>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</si>
  <si>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</si>
  <si>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</si>
  <si>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</si>
  <si>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</si>
  <si>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</si>
  <si>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</si>
  <si>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</si>
  <si>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</si>
  <si>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</si>
  <si>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</si>
  <si>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</si>
  <si>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</si>
  <si>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</si>
  <si>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</si>
  <si>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</si>
  <si>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</si>
  <si>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</si>
  <si>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</si>
  <si>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</si>
  <si>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</si>
  <si>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</si>
  <si>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</si>
  <si>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</si>
  <si>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</si>
  <si>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</si>
  <si>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</si>
  <si>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</si>
  <si>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</si>
  <si>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</si>
  <si>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</si>
  <si>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</si>
  <si>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</si>
  <si>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</si>
  <si>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</si>
  <si>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</si>
  <si>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</si>
  <si>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</si>
  <si>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Amount</t>
  </si>
  <si>
    <t>Please check the dates you entered. The dates you entered are valid for the June 2024 billing cycle. If valid, please use AES Indiana's June 2024 monthly bill calculator to calculate your bill for the entered dates.</t>
  </si>
  <si>
    <t>Please check the dates you entered. The dates you entered are valid for the May 2024 billing cycle. If valid, please use AES Indiana's May 2024 monthly bill calculator to calculate your bill for the entered dates.</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</si>
  <si>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</si>
  <si>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</si>
  <si>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</si>
  <si>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</si>
  <si>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</si>
  <si>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</si>
  <si>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</si>
  <si>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</si>
  <si>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</si>
  <si>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</si>
  <si>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</si>
  <si>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</si>
  <si>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</si>
  <si>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</si>
  <si>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Please check the dates you entered. The dates you entered are valid for the July 2024 billing cycle. If valid, please use AES Indiana's July 2024 monthly bill calculator to calculate your bill for the entered dates.</t>
  </si>
  <si>
    <t>September 2024 Monthly Bill Calculator</t>
  </si>
  <si>
    <t>Please check the dates you entered. The dates you entered are valid for the August 2024 billing cycle. If valid, please use AES Indiana's August 2024 monthly bill calculator to calculate your bill for the entered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</si>
</sst>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7"/>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3">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5" fillId="0" borderId="0" xfId="24"/>
    <xf numFmtId="167" fontId="7" fillId="0" borderId="0" xfId="25" applyNumberFormat="1" applyFont="1" applyFill="1"/>
    <xf numFmtId="167" fontId="7" fillId="0" borderId="0" xfId="25" applyNumberFormat="1" applyFont="1"/>
    <xf numFmtId="167" fontId="25"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6" fillId="0" borderId="0" xfId="27" applyFont="1" applyAlignment="1">
      <alignment horizontal="right" vertical="center"/>
    </xf>
    <xf numFmtId="0" fontId="25" fillId="0" borderId="2" xfId="24" applyBorder="1"/>
    <xf numFmtId="167" fontId="25" fillId="0" borderId="2" xfId="24" applyNumberFormat="1" applyBorder="1"/>
    <xf numFmtId="0" fontId="21" fillId="0" borderId="0" xfId="12" applyFont="1" applyBorder="1" applyAlignment="1" applyProtection="1">
      <alignment horizontal="center" vertical="center"/>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3" fillId="5" borderId="7" xfId="0" applyFont="1" applyFill="1" applyBorder="1" applyAlignment="1" applyProtection="1">
      <alignment horizontal="center"/>
      <protection locked="0"/>
    </xf>
    <xf numFmtId="0" fontId="18" fillId="4" borderId="11" xfId="0" applyFont="1" applyFill="1" applyBorder="1" applyAlignment="1" applyProtection="1">
      <alignment horizontal="center" vertical="top" wrapText="1"/>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0" fontId="27" fillId="0" borderId="3" xfId="0" applyFont="1" applyBorder="1" applyAlignment="1" applyProtection="1">
      <alignment horizontal="left" wrapText="1"/>
      <protection hidden="1"/>
    </xf>
    <xf numFmtId="0" fontId="27" fillId="0" borderId="4" xfId="0" applyFont="1" applyBorder="1" applyAlignment="1" applyProtection="1">
      <alignment horizontal="left" wrapText="1"/>
      <protection hidden="1"/>
    </xf>
    <xf numFmtId="0" fontId="27" fillId="0" borderId="5" xfId="0" applyFont="1" applyBorder="1" applyAlignment="1" applyProtection="1">
      <alignment horizontal="left" wrapText="1"/>
      <protection hidden="1"/>
    </xf>
    <xf numFmtId="0" fontId="27" fillId="0" borderId="6" xfId="0" applyFont="1" applyBorder="1" applyAlignment="1" applyProtection="1">
      <alignment horizontal="left" wrapText="1"/>
      <protection hidden="1"/>
    </xf>
    <xf numFmtId="0" fontId="27" fillId="0" borderId="0" xfId="0" applyFont="1" applyAlignment="1" applyProtection="1">
      <alignment horizontal="left" wrapText="1"/>
      <protection hidden="1"/>
    </xf>
    <xf numFmtId="0" fontId="27" fillId="0" borderId="7" xfId="0" applyFont="1" applyBorder="1" applyAlignment="1" applyProtection="1">
      <alignment horizontal="left" wrapText="1"/>
      <protection hidden="1"/>
    </xf>
    <xf numFmtId="0" fontId="27" fillId="0" borderId="8" xfId="0" applyFont="1" applyBorder="1" applyAlignment="1" applyProtection="1">
      <alignment horizontal="left" wrapText="1"/>
      <protection hidden="1"/>
    </xf>
    <xf numFmtId="0" fontId="27" fillId="0" borderId="1" xfId="0" applyFont="1" applyBorder="1" applyAlignment="1" applyProtection="1">
      <alignment horizontal="left" wrapText="1"/>
      <protection hidden="1"/>
    </xf>
    <xf numFmtId="0" fontId="27" fillId="0" borderId="9" xfId="0" applyFont="1" applyBorder="1" applyAlignment="1" applyProtection="1">
      <alignment horizontal="left" wrapText="1"/>
      <protection hidden="1"/>
    </xf>
    <xf numFmtId="0" fontId="0" fillId="0" borderId="10" xfId="0" applyBorder="1" applyProtection="1">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0" fillId="0" borderId="5" xfId="10" applyFont="1" applyBorder="1" applyAlignment="1" applyProtection="1">
      <alignment horizontal="left" indent="1"/>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1" xfId="0"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18" fillId="4" borderId="11" xfId="0" applyFont="1" applyFill="1" applyBorder="1" applyAlignment="1" applyProtection="1">
      <alignment vertical="top" wrapText="1"/>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1"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2" fillId="0" borderId="0" xfId="0" applyFont="1" applyAlignment="1" applyProtection="1">
      <alignment horizontal="left" vertical="center" wrapText="1" indent="12"/>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1587754</xdr:colOff>
      <xdr:row>3</xdr:row>
      <xdr:rowOff>20386</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419"/>
          <a:ext cx="7004304" cy="45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09/Rider-6-FAC-144-38703-Effective-08-30-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5/Rider-22-DSM-45911-Effective-05-09-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05/Rider-26-RTO-Effective-05-09-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view="pageBreakPreview" zoomScale="110" zoomScaleNormal="100" zoomScaleSheetLayoutView="110" workbookViewId="0">
      <selection activeCell="D11" sqref="D11"/>
    </sheetView>
  </sheetViews>
  <sheetFormatPr defaultRowHeight="12.5" x14ac:dyDescent="0.25"/>
  <cols>
    <col min="1" max="1" width="11.81640625" customWidth="1"/>
    <col min="2" max="2" width="56.54296875" customWidth="1"/>
    <col min="3" max="3" width="12.7265625" customWidth="1"/>
    <col min="4" max="4" width="24.1796875" customWidth="1"/>
    <col min="6" max="6" width="8.81640625" bestFit="1" customWidth="1"/>
  </cols>
  <sheetData>
    <row r="1" spans="1:4" ht="15.75" customHeight="1" x14ac:dyDescent="0.25">
      <c r="A1" s="227"/>
      <c r="B1" s="248" t="str">
        <f>'Calc. Sep. - New Basic Rates'!B2</f>
        <v>September 2024 Monthly Bill Calculator</v>
      </c>
      <c r="C1" s="248"/>
      <c r="D1" s="248"/>
    </row>
    <row r="2" spans="1:4" ht="12.65" customHeight="1" x14ac:dyDescent="0.25">
      <c r="A2" s="227"/>
      <c r="B2" s="248"/>
      <c r="C2" s="248"/>
      <c r="D2" s="248"/>
    </row>
    <row r="3" spans="1:4" ht="12.65" customHeight="1" x14ac:dyDescent="0.25">
      <c r="A3" s="227"/>
      <c r="B3" s="248"/>
      <c r="C3" s="248"/>
      <c r="D3" s="248"/>
    </row>
    <row r="4" spans="1:4" x14ac:dyDescent="0.25">
      <c r="A4" s="227"/>
      <c r="B4" s="227"/>
      <c r="C4" s="227"/>
      <c r="D4" s="227"/>
    </row>
    <row r="5" spans="1:4" ht="12.75" customHeight="1" x14ac:dyDescent="0.25">
      <c r="A5" s="249" t="s">
        <v>0</v>
      </c>
      <c r="B5" s="250"/>
      <c r="C5" s="250"/>
      <c r="D5" s="251"/>
    </row>
    <row r="6" spans="1:4" ht="12.65" customHeight="1" x14ac:dyDescent="0.25">
      <c r="A6" s="252" t="s">
        <v>1</v>
      </c>
      <c r="B6" s="253"/>
      <c r="C6" s="253"/>
      <c r="D6" s="254"/>
    </row>
    <row r="7" spans="1:4" x14ac:dyDescent="0.25">
      <c r="A7" s="255"/>
      <c r="B7" s="256"/>
      <c r="C7" s="256"/>
      <c r="D7" s="257"/>
    </row>
    <row r="8" spans="1:4" x14ac:dyDescent="0.25">
      <c r="A8" s="258" t="s">
        <v>2</v>
      </c>
      <c r="B8" s="259"/>
      <c r="C8" s="259"/>
      <c r="D8" s="260"/>
    </row>
    <row r="9" spans="1:4" x14ac:dyDescent="0.25">
      <c r="A9" s="261"/>
      <c r="B9" s="262"/>
      <c r="C9" s="262"/>
      <c r="D9" s="262"/>
    </row>
    <row r="10" spans="1:4" ht="12.65" customHeight="1" x14ac:dyDescent="0.25">
      <c r="A10" s="239" t="s">
        <v>3</v>
      </c>
      <c r="B10" s="182" t="s">
        <v>4</v>
      </c>
      <c r="C10" s="182"/>
      <c r="D10" s="183"/>
    </row>
    <row r="11" spans="1:4" x14ac:dyDescent="0.25">
      <c r="A11" s="246" t="s">
        <v>5</v>
      </c>
      <c r="B11" s="247" t="s">
        <v>6</v>
      </c>
      <c r="C11" s="247"/>
      <c r="D11" s="137"/>
    </row>
    <row r="12" spans="1:4" x14ac:dyDescent="0.25">
      <c r="A12" s="246" t="s">
        <v>7</v>
      </c>
      <c r="B12" s="235" t="s">
        <v>8</v>
      </c>
      <c r="C12" s="235"/>
      <c r="D12" s="136"/>
    </row>
    <row r="13" spans="1:4" ht="12.65" customHeight="1" x14ac:dyDescent="0.25">
      <c r="A13" s="240">
        <f>VLOOKUP("X",Inputs!C32:L72,9,FALSE)</f>
        <v>0</v>
      </c>
      <c r="B13" s="241"/>
      <c r="C13" s="241"/>
      <c r="D13" s="242"/>
    </row>
    <row r="14" spans="1:4" x14ac:dyDescent="0.25">
      <c r="A14" s="243"/>
      <c r="B14" s="244"/>
      <c r="C14" s="244"/>
      <c r="D14" s="245"/>
    </row>
    <row r="15" spans="1:4" x14ac:dyDescent="0.25">
      <c r="A15" s="227"/>
      <c r="B15" s="227"/>
      <c r="C15" s="227"/>
      <c r="D15" s="227"/>
    </row>
    <row r="16" spans="1:4" ht="12.75" customHeight="1" x14ac:dyDescent="0.25">
      <c r="A16" s="239" t="s">
        <v>3</v>
      </c>
      <c r="B16" s="182" t="s">
        <v>9</v>
      </c>
      <c r="C16" s="182"/>
      <c r="D16" s="183"/>
    </row>
    <row r="17" spans="1:8" x14ac:dyDescent="0.25">
      <c r="A17" s="234" t="s">
        <v>10</v>
      </c>
      <c r="B17" s="235" t="s">
        <v>11</v>
      </c>
      <c r="C17" s="235"/>
      <c r="D17" s="135" t="s">
        <v>49</v>
      </c>
    </row>
    <row r="18" spans="1:8" ht="12.75" customHeight="1" x14ac:dyDescent="0.25">
      <c r="A18" s="234" t="s">
        <v>13</v>
      </c>
      <c r="B18" s="236" t="s">
        <v>14</v>
      </c>
      <c r="C18" s="236"/>
      <c r="D18" s="127" t="s">
        <v>316</v>
      </c>
    </row>
    <row r="19" spans="1:8" x14ac:dyDescent="0.25">
      <c r="A19" s="234" t="s">
        <v>15</v>
      </c>
      <c r="B19" s="236" t="s">
        <v>16</v>
      </c>
      <c r="C19" s="236"/>
      <c r="D19" s="128"/>
    </row>
    <row r="20" spans="1:8" x14ac:dyDescent="0.25">
      <c r="A20" s="234" t="s">
        <v>17</v>
      </c>
      <c r="B20" s="236" t="s">
        <v>18</v>
      </c>
      <c r="C20" s="236"/>
      <c r="D20" s="180" t="s">
        <v>316</v>
      </c>
    </row>
    <row r="21" spans="1:8" x14ac:dyDescent="0.25">
      <c r="A21" s="234" t="s">
        <v>19</v>
      </c>
      <c r="B21" s="235" t="s">
        <v>20</v>
      </c>
      <c r="C21" s="235"/>
      <c r="D21" s="128"/>
    </row>
    <row r="22" spans="1:8" ht="12.75" customHeight="1" x14ac:dyDescent="0.25">
      <c r="A22" s="234" t="s">
        <v>21</v>
      </c>
      <c r="B22" s="236" t="s">
        <v>22</v>
      </c>
      <c r="C22" s="236"/>
      <c r="D22" s="131"/>
    </row>
    <row r="23" spans="1:8" ht="13.5" customHeight="1" x14ac:dyDescent="0.25">
      <c r="A23" s="237" t="s">
        <v>23</v>
      </c>
      <c r="B23" s="238" t="s">
        <v>24</v>
      </c>
      <c r="C23" s="238"/>
      <c r="D23" s="129"/>
    </row>
    <row r="24" spans="1:8" x14ac:dyDescent="0.25">
      <c r="A24" s="211"/>
      <c r="B24" s="211"/>
      <c r="C24" s="211"/>
      <c r="D24" s="211"/>
    </row>
    <row r="25" spans="1:8" ht="14.5" x14ac:dyDescent="0.35">
      <c r="A25" s="212" t="s">
        <v>25</v>
      </c>
      <c r="B25" s="213"/>
      <c r="C25" s="214" t="s">
        <v>26</v>
      </c>
      <c r="D25" s="215" t="s">
        <v>317</v>
      </c>
      <c r="H25" s="144"/>
    </row>
    <row r="26" spans="1:8" ht="13" x14ac:dyDescent="0.3">
      <c r="A26" s="216" t="s">
        <v>27</v>
      </c>
      <c r="B26" s="217"/>
      <c r="C26" s="217"/>
      <c r="D26" s="218"/>
    </row>
    <row r="27" spans="1:8" x14ac:dyDescent="0.25">
      <c r="A27" s="219" t="s">
        <v>28</v>
      </c>
      <c r="B27" s="220"/>
      <c r="C27" s="221" t="e" cm="1">
        <f t="array" aca="1" ref="C27" ca="1">_xlfn.IFS($D$17="RS",HYPERLINK(Inputs!$F$3,"RS"),'AES Indiana Bill Calc.'!$D$17="RC",HYPERLINK(Inputs!$F$3,"RC"),$D$17="RH",HYPERLINK(Inputs!$F$3,"RH"),$D$17="SS",HYPERLINK(Inputs!$F$8,"SS"),$D$17="SH",HYPERLINK(Inputs!$F$9,"SH"),$D$17="SE",H25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222" t="e">
        <f>VLOOKUP($D$19,'Calc. Sep. - New Basic Rates'!$B$43:$AB$1181,13,FALSE)</f>
        <v>#N/A</v>
      </c>
      <c r="F27" s="123"/>
    </row>
    <row r="28" spans="1:8" x14ac:dyDescent="0.25">
      <c r="A28" s="219" t="s">
        <v>29</v>
      </c>
      <c r="B28" s="220"/>
      <c r="C28" s="221"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222" t="e">
        <f>VLOOKUP($D$19,'Calc. Sep. - New Basic Rates'!$B$43:$AB$1181,9,FALSE)</f>
        <v>#N/A</v>
      </c>
      <c r="F28" s="123"/>
    </row>
    <row r="29" spans="1:8" x14ac:dyDescent="0.25">
      <c r="A29" s="219" t="s">
        <v>30</v>
      </c>
      <c r="B29" s="220"/>
      <c r="C29" s="221" t="e" cm="1">
        <f t="array" ref="C29">_xlfn.IFS($D$17="SL",HYPERLINK(Inputs!$F$14,"SL"),$D$17="PL",HYPERLINK(Inputs!$F$16,"PL"),$D$17="PH",HYPERLINK(Inputs!$F$18,"PH"),$D$17="HL1",HYPERLINK(Inputs!$F$20,"HL1"),$D$17="HL2",HYPERLINK(Inputs!$F$20,"HL2"),$D$17="HL3",HYPERLINK(Inputs!$F$20,"HL3"),$D$17="HL4",HYPERLINK(Inputs!$F$21,"HL4"))</f>
        <v>#N/A</v>
      </c>
      <c r="D29" s="222" t="e">
        <f>VLOOKUP($D$19,'Calc. Sep. - New Basic Rates'!$B$42:$AB$1181,16,FALSE)</f>
        <v>#N/A</v>
      </c>
    </row>
    <row r="30" spans="1:8" x14ac:dyDescent="0.25">
      <c r="A30" s="219" t="s">
        <v>31</v>
      </c>
      <c r="B30" s="220"/>
      <c r="C30" s="221" t="e" cm="1">
        <f t="array" ref="C30">_xlfn.IFS($D$17="SL",HYPERLINK(Inputs!$F$15,"SL"),$D$17="PL",HYPERLINK(Inputs!$F$17,"PL"),$D$17="PH",HYPERLINK(Inputs!$F$19,"PH"),$D$17="HL1",HYPERLINK(Inputs!$F$21,"HL1"),$D$17="HL2",HYPERLINK(Inputs!$F$21,"HL2"),$D$17="HL3",HYPERLINK(Inputs!$F$21,"HL3"),$D$17="HL4",HYPERLINK(Inputs!$F$21,"HL4"))</f>
        <v>#N/A</v>
      </c>
      <c r="D30" s="222" t="e">
        <f>VLOOKUP($D$19,'Calc. Sep. - New Basic Rates'!$B$42:$AB$1181,17,FALSE)</f>
        <v>#N/A</v>
      </c>
    </row>
    <row r="31" spans="1:8" ht="13" x14ac:dyDescent="0.3">
      <c r="A31" s="216" t="s">
        <v>32</v>
      </c>
      <c r="B31" s="217"/>
      <c r="C31" s="217"/>
      <c r="D31" s="218"/>
    </row>
    <row r="32" spans="1:8" x14ac:dyDescent="0.25">
      <c r="A32" s="219" t="s">
        <v>33</v>
      </c>
      <c r="B32" s="220"/>
      <c r="C32" s="177" t="s">
        <v>34</v>
      </c>
      <c r="D32" s="222" t="e">
        <f>VLOOKUP($D$19,'Calc. Sep. - New Basic Rates'!$B$43:$AB$1181,18,FALSE)</f>
        <v>#N/A</v>
      </c>
    </row>
    <row r="33" spans="1:4" x14ac:dyDescent="0.25">
      <c r="A33" s="219" t="s">
        <v>35</v>
      </c>
      <c r="B33" s="220"/>
      <c r="C33" s="177" t="s">
        <v>36</v>
      </c>
      <c r="D33" s="222" t="e">
        <f>VLOOKUP($D$19,'Calc. Sep. - New Basic Rates'!$B$43:$AB$1181,19,FALSE)</f>
        <v>#N/A</v>
      </c>
    </row>
    <row r="34" spans="1:4" ht="26.25" customHeight="1" x14ac:dyDescent="0.25">
      <c r="A34" s="223" t="s">
        <v>37</v>
      </c>
      <c r="B34" s="224"/>
      <c r="C34" s="177" t="s">
        <v>38</v>
      </c>
      <c r="D34" s="225" t="e">
        <f>VLOOKUP($D$19,'Calc. Sep. - New Basic Rates'!$B$43:$AB$1181,20,FALSE)</f>
        <v>#N/A</v>
      </c>
    </row>
    <row r="35" spans="1:4" x14ac:dyDescent="0.25">
      <c r="A35" s="219" t="s">
        <v>39</v>
      </c>
      <c r="B35" s="220"/>
      <c r="C35" s="177" t="s">
        <v>40</v>
      </c>
      <c r="D35" s="222" t="e">
        <f>VLOOKUP($D$19,'Calc. Sep. - New Basic Rates'!$B$43:$AB$1181,21,FALSE)</f>
        <v>#N/A</v>
      </c>
    </row>
    <row r="36" spans="1:4" x14ac:dyDescent="0.25">
      <c r="A36" s="223" t="s">
        <v>41</v>
      </c>
      <c r="B36" s="224"/>
      <c r="C36" s="177" t="s">
        <v>42</v>
      </c>
      <c r="D36" s="222" t="e">
        <f>VLOOKUP($D$19,'Calc. Sep. - New Basic Rates'!$B$43:$AB$1181,23,FALSE)</f>
        <v>#N/A</v>
      </c>
    </row>
    <row r="37" spans="1:4" x14ac:dyDescent="0.25">
      <c r="A37" s="219" t="s">
        <v>43</v>
      </c>
      <c r="B37" s="220"/>
      <c r="C37" s="177" t="s">
        <v>44</v>
      </c>
      <c r="D37" s="222" t="e">
        <f>VLOOKUP($D$19,'Calc. Sep. - New Basic Rates'!$B$43:$AB$1181,24,FALSE)</f>
        <v>#N/A</v>
      </c>
    </row>
    <row r="38" spans="1:4" x14ac:dyDescent="0.25">
      <c r="A38" s="219" t="s">
        <v>45</v>
      </c>
      <c r="B38" s="220"/>
      <c r="C38" s="177" t="s">
        <v>46</v>
      </c>
      <c r="D38" s="222" t="e">
        <f>VLOOKUP($D$19,'Calc. Sep. - New Basic Rates'!$B$43:$AB$1181,25,FALSE)</f>
        <v>#N/A</v>
      </c>
    </row>
    <row r="39" spans="1:4" x14ac:dyDescent="0.25">
      <c r="A39" s="219" t="s">
        <v>47</v>
      </c>
      <c r="B39" s="220"/>
      <c r="C39" s="177" t="s">
        <v>48</v>
      </c>
      <c r="D39" s="226" t="e">
        <f>VLOOKUP($D$19,'Calc. Sep. - New Basic Rates'!$B$43:$AB$1181,26,FALSE)</f>
        <v>#N/A</v>
      </c>
    </row>
    <row r="40" spans="1:4" ht="13" x14ac:dyDescent="0.3">
      <c r="A40" s="184" t="s">
        <v>311</v>
      </c>
      <c r="B40" s="185"/>
      <c r="C40" s="227"/>
      <c r="D40" s="228" t="e">
        <f>VLOOKUP($D$19,'Calc. Sep. - New Basic Rates'!$B$43:$AB$1181,6,FALSE)</f>
        <v>#N/A</v>
      </c>
    </row>
    <row r="41" spans="1:4" ht="13" x14ac:dyDescent="0.3">
      <c r="A41" s="186" t="s">
        <v>312</v>
      </c>
      <c r="B41" s="187"/>
      <c r="C41" s="229"/>
      <c r="D41" s="230" t="e">
        <f>D40*0.07</f>
        <v>#N/A</v>
      </c>
    </row>
    <row r="42" spans="1:4" ht="13" x14ac:dyDescent="0.3">
      <c r="A42" s="188" t="s">
        <v>313</v>
      </c>
      <c r="B42" s="189"/>
      <c r="C42" s="231"/>
      <c r="D42" s="232" t="e">
        <f>SUM(D40:D41)</f>
        <v>#N/A</v>
      </c>
    </row>
    <row r="43" spans="1:4" ht="13" x14ac:dyDescent="0.3">
      <c r="A43" s="178"/>
      <c r="B43" s="179"/>
      <c r="C43" s="229"/>
      <c r="D43" s="233"/>
    </row>
    <row r="44" spans="1:4" ht="13" x14ac:dyDescent="0.25">
      <c r="A44" s="181" t="s">
        <v>314</v>
      </c>
      <c r="B44" s="182"/>
      <c r="C44" s="182"/>
      <c r="D44" s="183"/>
    </row>
    <row r="45" spans="1:4" x14ac:dyDescent="0.25">
      <c r="A45" s="202" t="s">
        <v>315</v>
      </c>
      <c r="B45" s="203"/>
      <c r="C45" s="203"/>
      <c r="D45" s="204"/>
    </row>
    <row r="46" spans="1:4" x14ac:dyDescent="0.25">
      <c r="A46" s="205"/>
      <c r="B46" s="206"/>
      <c r="C46" s="206"/>
      <c r="D46" s="207"/>
    </row>
    <row r="47" spans="1:4" x14ac:dyDescent="0.25">
      <c r="A47" s="205"/>
      <c r="B47" s="206"/>
      <c r="C47" s="206"/>
      <c r="D47" s="207"/>
    </row>
    <row r="48" spans="1:4" x14ac:dyDescent="0.25">
      <c r="A48" s="205"/>
      <c r="B48" s="206"/>
      <c r="C48" s="206"/>
      <c r="D48" s="207"/>
    </row>
    <row r="49" spans="1:4" x14ac:dyDescent="0.25">
      <c r="A49" s="205"/>
      <c r="B49" s="206"/>
      <c r="C49" s="206"/>
      <c r="D49" s="207"/>
    </row>
    <row r="50" spans="1:4" x14ac:dyDescent="0.25">
      <c r="A50" s="205"/>
      <c r="B50" s="206"/>
      <c r="C50" s="206"/>
      <c r="D50" s="207"/>
    </row>
    <row r="51" spans="1:4" ht="16.5" customHeight="1" x14ac:dyDescent="0.25">
      <c r="A51" s="208"/>
      <c r="B51" s="209"/>
      <c r="C51" s="209"/>
      <c r="D51" s="210"/>
    </row>
  </sheetData>
  <sheetProtection algorithmName="SHA-512" hashValue="YqVU5k79S8d4XlmwrkXIAbMXYYm1DmG7MZe5CtLHipuYH67OloHNVZhljc8VNL0F1msL7l1T+OvIkmYW6+LgEw==" saltValue="NaY87tfhpQ3mIfqObFBFBw=="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5" x14ac:dyDescent="0.25"/>
  <sheetData/>
  <sheetProtection algorithmName="SHA-512" hashValue="vlqDxbsTVOdXixfu2sYov/PS+f6e9qOPY06JR3z22aTvV0GUrNTsGIh1akWQ6Zk7sH97vUopGQarbLryIzA4hg==" saltValue="l2tRcxfnr1JmQShH+7ZN4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5" x14ac:dyDescent="0.25"/>
  <sheetData/>
  <sheetProtection algorithmName="SHA-512" hashValue="3MGYcViuaYbSZanIGmHyEYk9b4Rx58URG5S4954FP+JVvf2CHlaXklbK389CYGa0O5CTs4yPvSojdy5CDIWxaA==" saltValue="JCyEe+wT/ftkzjHwRzfWe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xmEH9m25nWHlyz9GYLylfx/WuIV5kDWMpvWeC2qhH6SNAUEzybREXv07RYnxFRvfPUrdU+P1Bsa1a6EASYk3cQ==" saltValue="TCEdcTuTsaHDHUCyTLNCF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topLeftCell="A30" workbookViewId="0">
      <selection activeCell="K64" sqref="K64"/>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6" ht="13.5" thickBot="1" x14ac:dyDescent="0.35">
      <c r="B2" s="122" t="s">
        <v>49</v>
      </c>
      <c r="E2" s="191" t="s">
        <v>50</v>
      </c>
      <c r="F2" s="191"/>
    </row>
    <row r="3" spans="2:6" x14ac:dyDescent="0.25">
      <c r="B3" s="130" t="s">
        <v>12</v>
      </c>
      <c r="E3" s="130" t="s">
        <v>51</v>
      </c>
      <c r="F3" s="124" t="s">
        <v>333</v>
      </c>
    </row>
    <row r="4" spans="2:6" x14ac:dyDescent="0.25">
      <c r="B4" s="130" t="s">
        <v>52</v>
      </c>
      <c r="E4" s="124"/>
    </row>
    <row r="5" spans="2:6" x14ac:dyDescent="0.25">
      <c r="B5" s="130" t="s">
        <v>53</v>
      </c>
    </row>
    <row r="6" spans="2:6" x14ac:dyDescent="0.25">
      <c r="B6" s="130" t="s">
        <v>54</v>
      </c>
    </row>
    <row r="7" spans="2:6" ht="13.5" thickBot="1" x14ac:dyDescent="0.35">
      <c r="B7" s="130" t="s">
        <v>55</v>
      </c>
      <c r="E7" s="191" t="s">
        <v>56</v>
      </c>
      <c r="F7" s="191"/>
    </row>
    <row r="8" spans="2:6" x14ac:dyDescent="0.25">
      <c r="B8" s="130" t="s">
        <v>57</v>
      </c>
      <c r="E8" s="130" t="s">
        <v>54</v>
      </c>
      <c r="F8" t="s">
        <v>320</v>
      </c>
    </row>
    <row r="9" spans="2:6" x14ac:dyDescent="0.25">
      <c r="B9" s="130" t="s">
        <v>58</v>
      </c>
      <c r="E9" s="130" t="s">
        <v>55</v>
      </c>
      <c r="F9" t="s">
        <v>321</v>
      </c>
    </row>
    <row r="10" spans="2:6" x14ac:dyDescent="0.25">
      <c r="B10" s="130" t="s">
        <v>59</v>
      </c>
      <c r="E10" s="130" t="s">
        <v>57</v>
      </c>
      <c r="F10" s="124" t="s">
        <v>322</v>
      </c>
    </row>
    <row r="11" spans="2:6" x14ac:dyDescent="0.25">
      <c r="B11" s="130" t="s">
        <v>60</v>
      </c>
      <c r="E11" s="130" t="s">
        <v>58</v>
      </c>
      <c r="F11" s="124" t="s">
        <v>323</v>
      </c>
    </row>
    <row r="12" spans="2:6" x14ac:dyDescent="0.25">
      <c r="B12" s="130" t="s">
        <v>61</v>
      </c>
      <c r="E12" s="130" t="s">
        <v>59</v>
      </c>
      <c r="F12" s="124" t="s">
        <v>323</v>
      </c>
    </row>
    <row r="13" spans="2:6" x14ac:dyDescent="0.25">
      <c r="B13" s="130" t="s">
        <v>62</v>
      </c>
      <c r="E13" s="130" t="s">
        <v>60</v>
      </c>
      <c r="F13" t="s">
        <v>324</v>
      </c>
    </row>
    <row r="14" spans="2:6" x14ac:dyDescent="0.25">
      <c r="B14" s="130" t="s">
        <v>63</v>
      </c>
      <c r="E14" s="130" t="s">
        <v>64</v>
      </c>
      <c r="F14" t="s">
        <v>325</v>
      </c>
    </row>
    <row r="15" spans="2:6" x14ac:dyDescent="0.25">
      <c r="B15" s="130" t="s">
        <v>65</v>
      </c>
      <c r="E15" s="130" t="s">
        <v>66</v>
      </c>
      <c r="F15" s="124" t="s">
        <v>326</v>
      </c>
    </row>
    <row r="16" spans="2:6" x14ac:dyDescent="0.25">
      <c r="B16" s="130" t="s">
        <v>67</v>
      </c>
      <c r="E16" s="130" t="s">
        <v>68</v>
      </c>
      <c r="F16" t="s">
        <v>327</v>
      </c>
    </row>
    <row r="17" spans="2:11" x14ac:dyDescent="0.25">
      <c r="B17" s="130" t="s">
        <v>69</v>
      </c>
      <c r="E17" s="130" t="s">
        <v>70</v>
      </c>
      <c r="F17" s="124" t="s">
        <v>328</v>
      </c>
    </row>
    <row r="18" spans="2:11" x14ac:dyDescent="0.25">
      <c r="B18" s="130" t="s">
        <v>71</v>
      </c>
      <c r="E18" s="130" t="s">
        <v>72</v>
      </c>
      <c r="F18" s="124" t="s">
        <v>329</v>
      </c>
    </row>
    <row r="19" spans="2:11" x14ac:dyDescent="0.25">
      <c r="E19" s="130" t="s">
        <v>73</v>
      </c>
      <c r="F19" s="124" t="s">
        <v>330</v>
      </c>
    </row>
    <row r="20" spans="2:11" x14ac:dyDescent="0.25">
      <c r="E20" s="130" t="s">
        <v>74</v>
      </c>
      <c r="F20" s="124" t="s">
        <v>331</v>
      </c>
    </row>
    <row r="21" spans="2:11" x14ac:dyDescent="0.25">
      <c r="E21" s="130" t="s">
        <v>75</v>
      </c>
      <c r="F21" s="124" t="s">
        <v>332</v>
      </c>
    </row>
    <row r="25" spans="2:11" x14ac:dyDescent="0.25">
      <c r="E25" s="130" t="s">
        <v>76</v>
      </c>
    </row>
    <row r="26" spans="2:11" x14ac:dyDescent="0.25">
      <c r="E26" s="130" t="s">
        <v>77</v>
      </c>
    </row>
    <row r="29" spans="2:11" ht="13.5" thickBot="1" x14ac:dyDescent="0.35">
      <c r="C29" s="191" t="s">
        <v>78</v>
      </c>
      <c r="D29" s="191"/>
      <c r="E29" s="191"/>
      <c r="F29" s="191"/>
      <c r="G29" s="191"/>
      <c r="H29" s="191"/>
      <c r="I29" s="191"/>
      <c r="J29" s="191"/>
      <c r="K29" s="191"/>
    </row>
    <row r="30" spans="2:11" ht="13" thickBot="1" x14ac:dyDescent="0.3">
      <c r="E30" s="192" t="s">
        <v>79</v>
      </c>
      <c r="F30" s="193"/>
      <c r="G30" s="194"/>
      <c r="H30" s="192" t="s">
        <v>80</v>
      </c>
      <c r="I30" s="193"/>
      <c r="J30" s="194"/>
    </row>
    <row r="31" spans="2:11" x14ac:dyDescent="0.25">
      <c r="C31" s="140" t="s">
        <v>81</v>
      </c>
      <c r="D31" s="140" t="s">
        <v>82</v>
      </c>
      <c r="E31" s="141" t="s">
        <v>83</v>
      </c>
      <c r="F31" s="140" t="s">
        <v>84</v>
      </c>
      <c r="G31" s="142" t="s">
        <v>85</v>
      </c>
      <c r="H31" s="140" t="s">
        <v>83</v>
      </c>
      <c r="I31" s="140" t="s">
        <v>84</v>
      </c>
      <c r="J31" s="142" t="s">
        <v>85</v>
      </c>
      <c r="K31" s="140" t="s">
        <v>86</v>
      </c>
    </row>
    <row r="32" spans="2:11" x14ac:dyDescent="0.25">
      <c r="C32">
        <f>IF(AND('AES Indiana Bill Calc.'!$D$11&gt;=Inputs!E32,'AES Indiana Bill Calc.'!$D$12&gt;=Inputs!F32,'AES Indiana Bill Calc.'!$D$11&lt;=Inputs!H32,'AES Indiana Bill Calc.'!$D$12&lt;=Inputs!I32,'AES Indiana Bill Calc.'!$D$12-'AES Indiana Bill Calc.'!$D$11&gt;=27,'AES Indiana Bill Calc.'!$D$12-'AES Indiana Bill Calc.'!$D$11&lt;=34),"X",)</f>
        <v>0</v>
      </c>
      <c r="D32" s="133">
        <v>44562</v>
      </c>
      <c r="E32" s="134">
        <v>44529</v>
      </c>
      <c r="F32" s="123">
        <v>44559</v>
      </c>
      <c r="G32" s="59">
        <f t="shared" ref="G32:G39" si="0">F32-E32</f>
        <v>30</v>
      </c>
      <c r="H32" s="123">
        <v>44559</v>
      </c>
      <c r="I32" s="123">
        <v>44589</v>
      </c>
      <c r="J32" s="59">
        <f t="shared" ref="J32:J50" si="1">I32-H32</f>
        <v>30</v>
      </c>
      <c r="K32" s="130" t="s">
        <v>87</v>
      </c>
    </row>
    <row r="33" spans="3:11" x14ac:dyDescent="0.25">
      <c r="C33">
        <f>IF(AND('AES Indiana Bill Calc.'!$D$11&gt;=Inputs!E33,'AES Indiana Bill Calc.'!$D$12&gt;=Inputs!F33,'AES Indiana Bill Calc.'!$D$11&lt;=Inputs!H33,'AES Indiana Bill Calc.'!$D$12&lt;=Inputs!I33,'AES Indiana Bill Calc.'!$D$12-'AES Indiana Bill Calc.'!$D$11&gt;=27,'AES Indiana Bill Calc.'!$D$12-'AES Indiana Bill Calc.'!$D$11&lt;=34),"X",)</f>
        <v>0</v>
      </c>
      <c r="D33" s="133">
        <v>44593</v>
      </c>
      <c r="E33" s="134">
        <v>44559</v>
      </c>
      <c r="F33" s="132">
        <v>44591</v>
      </c>
      <c r="G33" s="59">
        <f t="shared" si="0"/>
        <v>32</v>
      </c>
      <c r="H33" s="123">
        <v>44589</v>
      </c>
      <c r="I33" s="123">
        <v>44617</v>
      </c>
      <c r="J33" s="59">
        <f t="shared" si="1"/>
        <v>28</v>
      </c>
      <c r="K33" s="130" t="s">
        <v>87</v>
      </c>
    </row>
    <row r="34" spans="3:11" x14ac:dyDescent="0.25">
      <c r="C34">
        <f>IF(AND('AES Indiana Bill Calc.'!$D$11&gt;=Inputs!E34,'AES Indiana Bill Calc.'!$D$12&gt;=Inputs!F34,'AES Indiana Bill Calc.'!$D$11&lt;=Inputs!H34,'AES Indiana Bill Calc.'!$D$12&lt;=Inputs!I34,'AES Indiana Bill Calc.'!$D$12-'AES Indiana Bill Calc.'!$D$11&gt;=27,'AES Indiana Bill Calc.'!$D$12-'AES Indiana Bill Calc.'!$D$11&lt;=34),"X",)</f>
        <v>0</v>
      </c>
      <c r="D34" s="133">
        <v>44621</v>
      </c>
      <c r="E34" s="134">
        <v>44591</v>
      </c>
      <c r="F34" s="123">
        <v>44619</v>
      </c>
      <c r="G34" s="59">
        <f t="shared" si="0"/>
        <v>28</v>
      </c>
      <c r="H34" s="123">
        <v>44617</v>
      </c>
      <c r="I34" s="123">
        <v>44649</v>
      </c>
      <c r="J34" s="59">
        <f t="shared" si="1"/>
        <v>32</v>
      </c>
      <c r="K34" s="130" t="s">
        <v>87</v>
      </c>
    </row>
    <row r="35" spans="3:11" x14ac:dyDescent="0.25">
      <c r="C35">
        <f>IF(AND('AES Indiana Bill Calc.'!$D$11&gt;=Inputs!E35,'AES Indiana Bill Calc.'!$D$12&gt;=Inputs!F35,'AES Indiana Bill Calc.'!$D$11&lt;=Inputs!H35,'AES Indiana Bill Calc.'!$D$12&lt;=Inputs!I35,'AES Indiana Bill Calc.'!$D$12-'AES Indiana Bill Calc.'!$D$11&gt;=27,'AES Indiana Bill Calc.'!$D$12-'AES Indiana Bill Calc.'!$D$11&lt;=34),"X",)</f>
        <v>0</v>
      </c>
      <c r="D35" s="133">
        <v>44652</v>
      </c>
      <c r="E35" s="134">
        <v>44619</v>
      </c>
      <c r="F35" s="123">
        <v>44650</v>
      </c>
      <c r="G35" s="59">
        <f t="shared" si="0"/>
        <v>31</v>
      </c>
      <c r="H35" s="123">
        <v>44649</v>
      </c>
      <c r="I35" s="123">
        <v>44678</v>
      </c>
      <c r="J35" s="59">
        <f t="shared" si="1"/>
        <v>29</v>
      </c>
      <c r="K35" s="130" t="s">
        <v>87</v>
      </c>
    </row>
    <row r="36" spans="3:11" x14ac:dyDescent="0.25">
      <c r="C36">
        <f>IF(AND('AES Indiana Bill Calc.'!$D$11&gt;=Inputs!E36,'AES Indiana Bill Calc.'!$D$12&gt;=Inputs!F36,'AES Indiana Bill Calc.'!$D$11&lt;=Inputs!H36,'AES Indiana Bill Calc.'!$D$12&lt;=Inputs!I36,'AES Indiana Bill Calc.'!$D$12-'AES Indiana Bill Calc.'!$D$11&gt;=27,'AES Indiana Bill Calc.'!$D$12-'AES Indiana Bill Calc.'!$D$11&lt;=34),"X",)</f>
        <v>0</v>
      </c>
      <c r="D36" s="133">
        <v>44682</v>
      </c>
      <c r="E36" s="134">
        <v>44650</v>
      </c>
      <c r="F36" s="123">
        <v>44679</v>
      </c>
      <c r="G36" s="59">
        <f t="shared" si="0"/>
        <v>29</v>
      </c>
      <c r="H36" s="123">
        <v>44678</v>
      </c>
      <c r="I36" s="123">
        <v>44708</v>
      </c>
      <c r="J36" s="59">
        <f t="shared" si="1"/>
        <v>30</v>
      </c>
      <c r="K36" s="130" t="s">
        <v>87</v>
      </c>
    </row>
    <row r="37" spans="3:11" x14ac:dyDescent="0.25">
      <c r="C37">
        <f>IF(AND('AES Indiana Bill Calc.'!$D$11&gt;=Inputs!E37,'AES Indiana Bill Calc.'!$D$12&gt;=Inputs!F37,'AES Indiana Bill Calc.'!$D$11&lt;=Inputs!H37,'AES Indiana Bill Calc.'!$D$12&lt;=Inputs!I37,'AES Indiana Bill Calc.'!$D$12-'AES Indiana Bill Calc.'!$D$11&gt;=27,'AES Indiana Bill Calc.'!$D$12-'AES Indiana Bill Calc.'!$D$11&lt;=34),"X",)</f>
        <v>0</v>
      </c>
      <c r="D37" s="133">
        <v>44713</v>
      </c>
      <c r="E37" s="134">
        <v>44679</v>
      </c>
      <c r="F37" s="123">
        <v>44712</v>
      </c>
      <c r="G37" s="59">
        <f t="shared" si="0"/>
        <v>33</v>
      </c>
      <c r="H37" s="123">
        <v>44708</v>
      </c>
      <c r="I37" s="123">
        <v>44741</v>
      </c>
      <c r="J37" s="59">
        <f t="shared" si="1"/>
        <v>33</v>
      </c>
      <c r="K37" s="130" t="s">
        <v>87</v>
      </c>
    </row>
    <row r="38" spans="3:11" x14ac:dyDescent="0.25">
      <c r="C38">
        <f>IF(AND('AES Indiana Bill Calc.'!$D$11&gt;=Inputs!E38,'AES Indiana Bill Calc.'!$D$12&gt;=Inputs!F38,'AES Indiana Bill Calc.'!$D$11&lt;=Inputs!H38,'AES Indiana Bill Calc.'!$D$12&lt;=Inputs!I38,'AES Indiana Bill Calc.'!$D$12-'AES Indiana Bill Calc.'!$D$11&gt;=27,'AES Indiana Bill Calc.'!$D$12-'AES Indiana Bill Calc.'!$D$11&lt;=34),"X",)</f>
        <v>0</v>
      </c>
      <c r="D38" s="133">
        <v>44743</v>
      </c>
      <c r="E38" s="134">
        <v>44712</v>
      </c>
      <c r="F38" s="123">
        <v>44742</v>
      </c>
      <c r="G38" s="59">
        <f t="shared" si="0"/>
        <v>30</v>
      </c>
      <c r="H38" s="123">
        <v>44741</v>
      </c>
      <c r="I38" s="123">
        <v>44770</v>
      </c>
      <c r="J38" s="59">
        <f t="shared" si="1"/>
        <v>29</v>
      </c>
      <c r="K38" s="130" t="s">
        <v>87</v>
      </c>
    </row>
    <row r="39" spans="3:11" x14ac:dyDescent="0.25">
      <c r="C39">
        <f>IF(AND('AES Indiana Bill Calc.'!$D$11&gt;=Inputs!E39,'AES Indiana Bill Calc.'!$D$12&gt;=Inputs!F39,'AES Indiana Bill Calc.'!$D$11&lt;=Inputs!H39,'AES Indiana Bill Calc.'!$D$12&lt;=Inputs!I39,'AES Indiana Bill Calc.'!$D$12-'AES Indiana Bill Calc.'!$D$11&gt;=27,'AES Indiana Bill Calc.'!$D$12-'AES Indiana Bill Calc.'!$D$11&lt;=34),"X",)</f>
        <v>0</v>
      </c>
      <c r="D39" s="133">
        <v>44774</v>
      </c>
      <c r="E39" s="134">
        <v>44742</v>
      </c>
      <c r="F39" s="123">
        <v>44771</v>
      </c>
      <c r="G39" s="59">
        <f t="shared" si="0"/>
        <v>29</v>
      </c>
      <c r="H39" s="123">
        <v>44770</v>
      </c>
      <c r="I39" s="123">
        <v>44802</v>
      </c>
      <c r="J39" s="59">
        <f>I39-H39</f>
        <v>32</v>
      </c>
      <c r="K39" s="130" t="s">
        <v>87</v>
      </c>
    </row>
    <row r="40" spans="3:11" x14ac:dyDescent="0.25">
      <c r="C40">
        <f>IF(AND('AES Indiana Bill Calc.'!$D$11&gt;=Inputs!E40,'AES Indiana Bill Calc.'!$D$12&gt;=Inputs!F40,'AES Indiana Bill Calc.'!$D$11&lt;=Inputs!H40,'AES Indiana Bill Calc.'!$D$12&lt;=Inputs!I40,'AES Indiana Bill Calc.'!$D$12-'AES Indiana Bill Calc.'!$D$11&gt;=27,'AES Indiana Bill Calc.'!$D$12-'AES Indiana Bill Calc.'!$D$11&lt;=34),"X",)</f>
        <v>0</v>
      </c>
      <c r="D40" s="133">
        <v>44805</v>
      </c>
      <c r="E40" s="134">
        <v>44771</v>
      </c>
      <c r="F40" s="123">
        <v>44802</v>
      </c>
      <c r="G40" s="59">
        <f>F40-E40</f>
        <v>31</v>
      </c>
      <c r="H40" s="123">
        <v>44803</v>
      </c>
      <c r="I40" s="123">
        <v>44833</v>
      </c>
      <c r="J40" s="59">
        <f t="shared" si="1"/>
        <v>30</v>
      </c>
      <c r="K40" s="130" t="s">
        <v>87</v>
      </c>
    </row>
    <row r="41" spans="3:11" x14ac:dyDescent="0.25">
      <c r="C41">
        <f>IF(AND('AES Indiana Bill Calc.'!$D$11&gt;=Inputs!E41,'AES Indiana Bill Calc.'!$D$12&gt;=Inputs!F41,'AES Indiana Bill Calc.'!$D$11&lt;=Inputs!H41,'AES Indiana Bill Calc.'!$D$12&lt;=Inputs!I41,'AES Indiana Bill Calc.'!$D$12-'AES Indiana Bill Calc.'!$D$11&gt;=27,'AES Indiana Bill Calc.'!$D$12-'AES Indiana Bill Calc.'!$D$11&lt;=34),"X",)</f>
        <v>0</v>
      </c>
      <c r="D41" s="133">
        <v>44835</v>
      </c>
      <c r="E41" s="134">
        <v>44802</v>
      </c>
      <c r="F41" s="123">
        <v>44834</v>
      </c>
      <c r="G41" s="59">
        <f>F41-E41</f>
        <v>32</v>
      </c>
      <c r="H41" s="123">
        <v>44833</v>
      </c>
      <c r="I41" s="123">
        <v>44862</v>
      </c>
      <c r="J41" s="59">
        <f t="shared" si="1"/>
        <v>29</v>
      </c>
      <c r="K41" s="130" t="s">
        <v>87</v>
      </c>
    </row>
    <row r="42" spans="3:11" x14ac:dyDescent="0.25">
      <c r="C42">
        <f>IF(AND('AES Indiana Bill Calc.'!$D$11&gt;=Inputs!E42,'AES Indiana Bill Calc.'!$D$12&gt;=Inputs!F42,'AES Indiana Bill Calc.'!$D$11&lt;=Inputs!H42,'AES Indiana Bill Calc.'!$D$12&lt;=Inputs!I42,'AES Indiana Bill Calc.'!$D$12-'AES Indiana Bill Calc.'!$D$11&gt;=27,'AES Indiana Bill Calc.'!$D$12-'AES Indiana Bill Calc.'!$D$11&lt;=34),"X",)</f>
        <v>0</v>
      </c>
      <c r="D42" s="133">
        <v>44866</v>
      </c>
      <c r="E42" s="134">
        <v>44834</v>
      </c>
      <c r="F42" s="123">
        <v>44863</v>
      </c>
      <c r="G42" s="59">
        <f t="shared" ref="G42:G51" si="2">F42-E42</f>
        <v>29</v>
      </c>
      <c r="H42" s="123">
        <v>44862</v>
      </c>
      <c r="I42" s="123">
        <v>44894</v>
      </c>
      <c r="J42" s="59">
        <f t="shared" si="1"/>
        <v>32</v>
      </c>
      <c r="K42" s="130" t="s">
        <v>87</v>
      </c>
    </row>
    <row r="43" spans="3:11" x14ac:dyDescent="0.25">
      <c r="C43">
        <f>IF(AND('AES Indiana Bill Calc.'!$D$11&gt;=Inputs!E43,'AES Indiana Bill Calc.'!$D$12&gt;=Inputs!F43,'AES Indiana Bill Calc.'!$D$11&lt;=Inputs!H43,'AES Indiana Bill Calc.'!$D$12&lt;=Inputs!I43,'AES Indiana Bill Calc.'!$D$12-'AES Indiana Bill Calc.'!$D$11&gt;=27,'AES Indiana Bill Calc.'!$D$12-'AES Indiana Bill Calc.'!$D$11&lt;=34),"X",)</f>
        <v>0</v>
      </c>
      <c r="D43" s="133">
        <v>44896</v>
      </c>
      <c r="E43" s="134">
        <v>44863</v>
      </c>
      <c r="F43" s="123">
        <v>44895</v>
      </c>
      <c r="G43" s="59">
        <f t="shared" si="2"/>
        <v>32</v>
      </c>
      <c r="H43" s="123">
        <v>44894</v>
      </c>
      <c r="I43" s="123">
        <v>44924</v>
      </c>
      <c r="J43" s="59">
        <f t="shared" si="1"/>
        <v>30</v>
      </c>
      <c r="K43" s="130" t="s">
        <v>87</v>
      </c>
    </row>
    <row r="44" spans="3:11" x14ac:dyDescent="0.25">
      <c r="C44">
        <f>IF(AND('AES Indiana Bill Calc.'!$D$11&gt;=Inputs!E44,'AES Indiana Bill Calc.'!$D$12&gt;=Inputs!F44,'AES Indiana Bill Calc.'!$D$11&lt;=Inputs!H44,'AES Indiana Bill Calc.'!$D$12&lt;=Inputs!I44,'AES Indiana Bill Calc.'!$D$12-'AES Indiana Bill Calc.'!$D$11&gt;=27,'AES Indiana Bill Calc.'!$D$12-'AES Indiana Bill Calc.'!$D$11&lt;=34),"X",)</f>
        <v>0</v>
      </c>
      <c r="D44" s="133">
        <v>44927</v>
      </c>
      <c r="E44" s="134">
        <v>44895</v>
      </c>
      <c r="F44" s="123">
        <v>44925</v>
      </c>
      <c r="G44" s="59">
        <f t="shared" si="2"/>
        <v>30</v>
      </c>
      <c r="H44" s="123">
        <f>F44</f>
        <v>44925</v>
      </c>
      <c r="I44" s="123">
        <v>44956</v>
      </c>
      <c r="J44" s="59">
        <f t="shared" si="1"/>
        <v>31</v>
      </c>
      <c r="K44" s="130" t="s">
        <v>87</v>
      </c>
    </row>
    <row r="45" spans="3:11" x14ac:dyDescent="0.25">
      <c r="C45">
        <f>IF(AND('AES Indiana Bill Calc.'!$D$11&gt;=Inputs!E45,'AES Indiana Bill Calc.'!$D$12&gt;=Inputs!F45,'AES Indiana Bill Calc.'!$D$11&lt;=Inputs!H45,'AES Indiana Bill Calc.'!$D$12&lt;=Inputs!I45,'AES Indiana Bill Calc.'!$D$12-'AES Indiana Bill Calc.'!$D$11&gt;=27,'AES Indiana Bill Calc.'!$D$12-'AES Indiana Bill Calc.'!$D$11&lt;=34),"X",)</f>
        <v>0</v>
      </c>
      <c r="D45" s="133">
        <v>44958</v>
      </c>
      <c r="E45" s="134">
        <f>F44</f>
        <v>44925</v>
      </c>
      <c r="F45" s="132">
        <v>44957</v>
      </c>
      <c r="G45" s="59">
        <f t="shared" si="2"/>
        <v>32</v>
      </c>
      <c r="H45" s="123">
        <f>I44</f>
        <v>44956</v>
      </c>
      <c r="I45" s="123">
        <v>44984</v>
      </c>
      <c r="J45" s="59">
        <f t="shared" si="1"/>
        <v>28</v>
      </c>
      <c r="K45" s="130" t="s">
        <v>87</v>
      </c>
    </row>
    <row r="46" spans="3:11" x14ac:dyDescent="0.25">
      <c r="C46">
        <f>IF(AND('AES Indiana Bill Calc.'!$D$11&gt;=Inputs!E46,'AES Indiana Bill Calc.'!$D$12&gt;=Inputs!F46,'AES Indiana Bill Calc.'!$D$11&lt;=Inputs!H46,'AES Indiana Bill Calc.'!$D$12&lt;=Inputs!I46,'AES Indiana Bill Calc.'!$D$12-'AES Indiana Bill Calc.'!$D$11&gt;=27,'AES Indiana Bill Calc.'!$D$12-'AES Indiana Bill Calc.'!$D$11&lt;=34),"X",)</f>
        <v>0</v>
      </c>
      <c r="D46" s="133">
        <v>44986</v>
      </c>
      <c r="E46" s="134">
        <f>F45</f>
        <v>44957</v>
      </c>
      <c r="F46" s="123">
        <v>44985</v>
      </c>
      <c r="G46" s="59">
        <f t="shared" si="2"/>
        <v>28</v>
      </c>
      <c r="H46" s="123">
        <f>I45</f>
        <v>44984</v>
      </c>
      <c r="I46" s="123">
        <v>45014</v>
      </c>
      <c r="J46" s="59">
        <f t="shared" si="1"/>
        <v>30</v>
      </c>
      <c r="K46" s="130" t="s">
        <v>88</v>
      </c>
    </row>
    <row r="47" spans="3:11" x14ac:dyDescent="0.25">
      <c r="C47">
        <f>IF(AND('AES Indiana Bill Calc.'!$D$11&gt;=Inputs!E47,'AES Indiana Bill Calc.'!$D$12&gt;=Inputs!F47,'AES Indiana Bill Calc.'!$D$11&lt;=Inputs!H47,'AES Indiana Bill Calc.'!$D$12&lt;=Inputs!I47,'AES Indiana Bill Calc.'!$D$12-'AES Indiana Bill Calc.'!$D$11&gt;=27,'AES Indiana Bill Calc.'!$D$12-'AES Indiana Bill Calc.'!$D$11&lt;=34),"X",)</f>
        <v>0</v>
      </c>
      <c r="D47" s="133">
        <v>45017</v>
      </c>
      <c r="E47" s="134">
        <v>44985</v>
      </c>
      <c r="F47" s="123">
        <v>45015</v>
      </c>
      <c r="G47" s="59">
        <f t="shared" si="2"/>
        <v>30</v>
      </c>
      <c r="H47" s="123">
        <v>45014</v>
      </c>
      <c r="I47" s="123">
        <v>45043</v>
      </c>
      <c r="J47" s="59">
        <f t="shared" si="1"/>
        <v>29</v>
      </c>
      <c r="K47" s="130" t="s">
        <v>89</v>
      </c>
    </row>
    <row r="48" spans="3:11" x14ac:dyDescent="0.25">
      <c r="C48">
        <f>IF(AND('AES Indiana Bill Calc.'!$D$11&gt;=Inputs!E48,'AES Indiana Bill Calc.'!$D$12&gt;=Inputs!F48,'AES Indiana Bill Calc.'!$D$11&lt;=Inputs!H48,'AES Indiana Bill Calc.'!$D$12&lt;=Inputs!I48,'AES Indiana Bill Calc.'!$D$12-'AES Indiana Bill Calc.'!$D$11&gt;=27,'AES Indiana Bill Calc.'!$D$12-'AES Indiana Bill Calc.'!$D$11&lt;=34),"X",)</f>
        <v>0</v>
      </c>
      <c r="D48" s="133">
        <v>45047</v>
      </c>
      <c r="E48" s="134">
        <v>45015</v>
      </c>
      <c r="F48" s="123">
        <v>45044</v>
      </c>
      <c r="G48" s="59">
        <f t="shared" si="2"/>
        <v>29</v>
      </c>
      <c r="H48" s="123">
        <v>45043</v>
      </c>
      <c r="I48" s="123">
        <v>45076</v>
      </c>
      <c r="J48" s="59">
        <f t="shared" si="1"/>
        <v>33</v>
      </c>
      <c r="K48" s="130" t="s">
        <v>90</v>
      </c>
    </row>
    <row r="49" spans="3:11" x14ac:dyDescent="0.25">
      <c r="C49">
        <f>IF(AND('AES Indiana Bill Calc.'!$D$11&gt;=Inputs!E49,'AES Indiana Bill Calc.'!$D$12&gt;=Inputs!F49,'AES Indiana Bill Calc.'!$D$11&lt;=Inputs!H49,'AES Indiana Bill Calc.'!$D$12&lt;=Inputs!I49,'AES Indiana Bill Calc.'!$D$12-'AES Indiana Bill Calc.'!$D$11&gt;=27,'AES Indiana Bill Calc.'!$D$12-'AES Indiana Bill Calc.'!$D$11&lt;=34),"X",)</f>
        <v>0</v>
      </c>
      <c r="D49" s="133">
        <v>45078</v>
      </c>
      <c r="E49" s="134">
        <v>45044</v>
      </c>
      <c r="F49" s="123">
        <v>45077</v>
      </c>
      <c r="G49" s="59">
        <f t="shared" si="2"/>
        <v>33</v>
      </c>
      <c r="H49" s="123">
        <f>I48</f>
        <v>45076</v>
      </c>
      <c r="I49" s="123">
        <v>45106</v>
      </c>
      <c r="J49" s="59">
        <f t="shared" si="1"/>
        <v>30</v>
      </c>
      <c r="K49" s="130" t="s">
        <v>91</v>
      </c>
    </row>
    <row r="50" spans="3:11" x14ac:dyDescent="0.25">
      <c r="C50">
        <f>IF(AND('AES Indiana Bill Calc.'!$D$11&gt;=Inputs!E50,'AES Indiana Bill Calc.'!$D$12&gt;=Inputs!F50,'AES Indiana Bill Calc.'!$D$11&lt;=Inputs!H50,'AES Indiana Bill Calc.'!$D$12&lt;=Inputs!I50,'AES Indiana Bill Calc.'!$D$12-'AES Indiana Bill Calc.'!$D$11&gt;=27,'AES Indiana Bill Calc.'!$D$12-'AES Indiana Bill Calc.'!$D$11&lt;=34),"X",)</f>
        <v>0</v>
      </c>
      <c r="D50" s="133">
        <v>45108</v>
      </c>
      <c r="E50" s="134">
        <v>45077</v>
      </c>
      <c r="F50" s="123">
        <v>45107</v>
      </c>
      <c r="G50" s="59">
        <f t="shared" si="2"/>
        <v>30</v>
      </c>
      <c r="H50" s="123">
        <v>45106</v>
      </c>
      <c r="I50" s="123">
        <v>45135</v>
      </c>
      <c r="J50" s="59">
        <f t="shared" si="1"/>
        <v>29</v>
      </c>
      <c r="K50" s="130" t="s">
        <v>297</v>
      </c>
    </row>
    <row r="51" spans="3:11" x14ac:dyDescent="0.25">
      <c r="C51">
        <f>IF(AND('AES Indiana Bill Calc.'!$D$11&gt;=Inputs!E51,'AES Indiana Bill Calc.'!$D$12&gt;=Inputs!F51,'AES Indiana Bill Calc.'!$D$11&lt;=Inputs!H51,'AES Indiana Bill Calc.'!$D$12&lt;=Inputs!I51,'AES Indiana Bill Calc.'!$D$12-'AES Indiana Bill Calc.'!$D$11&gt;=27,'AES Indiana Bill Calc.'!$D$12-'AES Indiana Bill Calc.'!$D$11&lt;=34),"X",)</f>
        <v>0</v>
      </c>
      <c r="D51" s="133">
        <v>45139</v>
      </c>
      <c r="E51" s="134">
        <v>45107</v>
      </c>
      <c r="F51" s="123">
        <v>45138</v>
      </c>
      <c r="G51" s="59">
        <f t="shared" si="2"/>
        <v>31</v>
      </c>
      <c r="H51" s="123">
        <v>45135</v>
      </c>
      <c r="I51" s="123">
        <v>45168</v>
      </c>
      <c r="J51" s="59">
        <f>I51-H51</f>
        <v>33</v>
      </c>
      <c r="K51" s="130" t="s">
        <v>92</v>
      </c>
    </row>
    <row r="52" spans="3:11" x14ac:dyDescent="0.25">
      <c r="C52">
        <f>IF(AND('AES Indiana Bill Calc.'!$D$11&gt;=Inputs!E52,'AES Indiana Bill Calc.'!$D$12&gt;=Inputs!F52,'AES Indiana Bill Calc.'!$D$11&lt;=Inputs!H52,'AES Indiana Bill Calc.'!$D$12&lt;=Inputs!I52,'AES Indiana Bill Calc.'!$D$12-'AES Indiana Bill Calc.'!$D$11&gt;=27,'AES Indiana Bill Calc.'!$D$12-'AES Indiana Bill Calc.'!$D$11&lt;=34),"X",)</f>
        <v>0</v>
      </c>
      <c r="D52" s="133">
        <v>45170</v>
      </c>
      <c r="E52" s="134">
        <v>45138</v>
      </c>
      <c r="F52" s="123">
        <v>45169</v>
      </c>
      <c r="G52" s="59">
        <f>F52-E52</f>
        <v>31</v>
      </c>
      <c r="H52" s="123">
        <v>45168</v>
      </c>
      <c r="I52" s="123">
        <v>45197</v>
      </c>
      <c r="J52" s="59">
        <f t="shared" ref="J52:J67" si="3">I52-H52</f>
        <v>29</v>
      </c>
      <c r="K52" s="130" t="s">
        <v>93</v>
      </c>
    </row>
    <row r="53" spans="3:11" x14ac:dyDescent="0.25">
      <c r="C53">
        <f>IF(AND('AES Indiana Bill Calc.'!$D$11&gt;=Inputs!E53,'AES Indiana Bill Calc.'!$D$12&gt;=Inputs!F53,'AES Indiana Bill Calc.'!$D$11&lt;=Inputs!H53,'AES Indiana Bill Calc.'!$D$12&lt;=Inputs!I53,'AES Indiana Bill Calc.'!$D$12-'AES Indiana Bill Calc.'!$D$11&gt;=27,'AES Indiana Bill Calc.'!$D$12-'AES Indiana Bill Calc.'!$D$11&lt;=34),"X",)</f>
        <v>0</v>
      </c>
      <c r="D53" s="133">
        <v>45200</v>
      </c>
      <c r="E53" s="134">
        <f>F52</f>
        <v>45169</v>
      </c>
      <c r="F53" s="123">
        <v>45198</v>
      </c>
      <c r="G53" s="59">
        <f>F53-E53</f>
        <v>29</v>
      </c>
      <c r="H53" s="123">
        <v>45197</v>
      </c>
      <c r="I53" s="123">
        <v>45229</v>
      </c>
      <c r="J53" s="59">
        <f t="shared" si="3"/>
        <v>32</v>
      </c>
      <c r="K53" s="130" t="s">
        <v>94</v>
      </c>
    </row>
    <row r="54" spans="3:11" x14ac:dyDescent="0.25">
      <c r="C54">
        <f>IF(AND('AES Indiana Bill Calc.'!$D$11&gt;=Inputs!E54,'AES Indiana Bill Calc.'!$D$12&gt;=Inputs!F54,'AES Indiana Bill Calc.'!$D$11&lt;=Inputs!H54,'AES Indiana Bill Calc.'!$D$12&lt;=Inputs!I54,'AES Indiana Bill Calc.'!$D$12-'AES Indiana Bill Calc.'!$D$11&gt;=27,'AES Indiana Bill Calc.'!$D$12-'AES Indiana Bill Calc.'!$D$11&lt;=34),"X",)</f>
        <v>0</v>
      </c>
      <c r="D54" s="133">
        <v>45231</v>
      </c>
      <c r="E54" s="134">
        <v>45198</v>
      </c>
      <c r="F54" s="123">
        <v>45230</v>
      </c>
      <c r="G54" s="59">
        <f t="shared" ref="G54:G67" si="4">F54-E54</f>
        <v>32</v>
      </c>
      <c r="H54" s="123">
        <v>45229</v>
      </c>
      <c r="I54" s="123">
        <v>45259</v>
      </c>
      <c r="J54" s="59">
        <f t="shared" si="3"/>
        <v>30</v>
      </c>
      <c r="K54" s="130" t="s">
        <v>95</v>
      </c>
    </row>
    <row r="55" spans="3:11" x14ac:dyDescent="0.25">
      <c r="C55">
        <f>IF(AND('AES Indiana Bill Calc.'!$D$11&gt;=Inputs!E55,'AES Indiana Bill Calc.'!$D$12&gt;=Inputs!F55,'AES Indiana Bill Calc.'!$D$11&lt;=Inputs!H55,'AES Indiana Bill Calc.'!$D$12&lt;=Inputs!I55,'AES Indiana Bill Calc.'!$D$12-'AES Indiana Bill Calc.'!$D$11&gt;=27,'AES Indiana Bill Calc.'!$D$12-'AES Indiana Bill Calc.'!$D$11&lt;=34),"X",)</f>
        <v>0</v>
      </c>
      <c r="D55" s="133">
        <v>45261</v>
      </c>
      <c r="E55" s="134">
        <f>F54</f>
        <v>45230</v>
      </c>
      <c r="F55" s="123">
        <v>45260</v>
      </c>
      <c r="G55" s="59">
        <f t="shared" si="4"/>
        <v>30</v>
      </c>
      <c r="H55" s="123">
        <v>45259</v>
      </c>
      <c r="I55" s="123">
        <v>45288</v>
      </c>
      <c r="J55" s="59">
        <f t="shared" si="3"/>
        <v>29</v>
      </c>
      <c r="K55" s="130" t="s">
        <v>96</v>
      </c>
    </row>
    <row r="56" spans="3:11" x14ac:dyDescent="0.25">
      <c r="C56">
        <f>IF(AND('AES Indiana Bill Calc.'!$D$11&gt;=Inputs!E56,'AES Indiana Bill Calc.'!$D$12&gt;=Inputs!F56,'AES Indiana Bill Calc.'!$D$11&lt;=Inputs!H56,'AES Indiana Bill Calc.'!$D$12&lt;=Inputs!I56,'AES Indiana Bill Calc.'!$D$12-'AES Indiana Bill Calc.'!$D$11&gt;=27,'AES Indiana Bill Calc.'!$D$12-'AES Indiana Bill Calc.'!$D$11&lt;=34),"X",)</f>
        <v>0</v>
      </c>
      <c r="D56" s="166">
        <v>45292</v>
      </c>
      <c r="E56" s="123">
        <v>45260</v>
      </c>
      <c r="F56" s="123">
        <v>45289</v>
      </c>
      <c r="G56" s="59">
        <f t="shared" si="4"/>
        <v>29</v>
      </c>
      <c r="H56" s="123">
        <v>45288</v>
      </c>
      <c r="I56" s="123">
        <v>45321</v>
      </c>
      <c r="J56" s="59">
        <f t="shared" si="3"/>
        <v>33</v>
      </c>
      <c r="K56" s="130" t="s">
        <v>292</v>
      </c>
    </row>
    <row r="57" spans="3:11" x14ac:dyDescent="0.25">
      <c r="C57">
        <f>IF(AND('AES Indiana Bill Calc.'!$D$11&gt;=Inputs!E57,'AES Indiana Bill Calc.'!$D$12&gt;=Inputs!F57,'AES Indiana Bill Calc.'!$D$11&lt;=Inputs!H57,'AES Indiana Bill Calc.'!$D$12&lt;=Inputs!I57,'AES Indiana Bill Calc.'!$D$12-'AES Indiana Bill Calc.'!$D$11&gt;=27,'AES Indiana Bill Calc.'!$D$12-'AES Indiana Bill Calc.'!$D$11&lt;=34),"X",)</f>
        <v>0</v>
      </c>
      <c r="D57" s="166">
        <v>45323</v>
      </c>
      <c r="E57" s="123">
        <f t="shared" ref="E57:E67" si="5">F56</f>
        <v>45289</v>
      </c>
      <c r="F57" s="123">
        <v>45322</v>
      </c>
      <c r="G57" s="59">
        <f t="shared" si="4"/>
        <v>33</v>
      </c>
      <c r="H57" s="123">
        <v>45321</v>
      </c>
      <c r="I57" s="123">
        <v>45350</v>
      </c>
      <c r="J57" s="59">
        <f t="shared" si="3"/>
        <v>29</v>
      </c>
      <c r="K57" s="130" t="s">
        <v>293</v>
      </c>
    </row>
    <row r="58" spans="3:11" x14ac:dyDescent="0.25">
      <c r="C58">
        <f>IF(AND('AES Indiana Bill Calc.'!$D$11&gt;=Inputs!E58,'AES Indiana Bill Calc.'!$D$12&gt;=Inputs!F58,'AES Indiana Bill Calc.'!$D$11&lt;=Inputs!H58,'AES Indiana Bill Calc.'!$D$12&lt;=Inputs!I58,'AES Indiana Bill Calc.'!$D$12-'AES Indiana Bill Calc.'!$D$11&gt;=27,'AES Indiana Bill Calc.'!$D$12-'AES Indiana Bill Calc.'!$D$11&lt;=34),"X",)</f>
        <v>0</v>
      </c>
      <c r="D58" s="166">
        <v>45352</v>
      </c>
      <c r="E58" s="123">
        <f t="shared" si="5"/>
        <v>45322</v>
      </c>
      <c r="F58" s="123">
        <v>45351</v>
      </c>
      <c r="G58" s="59">
        <f t="shared" si="4"/>
        <v>29</v>
      </c>
      <c r="H58" s="123">
        <f t="shared" ref="H58:H67" si="6">I57</f>
        <v>45350</v>
      </c>
      <c r="I58" s="132">
        <v>45378</v>
      </c>
      <c r="J58" s="59">
        <f>I58-H58</f>
        <v>28</v>
      </c>
      <c r="K58" s="130" t="s">
        <v>294</v>
      </c>
    </row>
    <row r="59" spans="3:11" x14ac:dyDescent="0.25">
      <c r="C59">
        <f>IF(AND('AES Indiana Bill Calc.'!$D$11&gt;=Inputs!E59,'AES Indiana Bill Calc.'!$D$12&gt;=Inputs!F59,'AES Indiana Bill Calc.'!$D$11&lt;=Inputs!H59,'AES Indiana Bill Calc.'!$D$12&lt;=Inputs!I59,'AES Indiana Bill Calc.'!$D$12-'AES Indiana Bill Calc.'!$D$11&gt;=27,'AES Indiana Bill Calc.'!$D$12-'AES Indiana Bill Calc.'!$D$11&lt;=34),"X",)</f>
        <v>0</v>
      </c>
      <c r="D59" s="166">
        <v>45383</v>
      </c>
      <c r="E59" s="123">
        <f t="shared" si="5"/>
        <v>45351</v>
      </c>
      <c r="F59" s="123">
        <v>45380</v>
      </c>
      <c r="G59" s="59">
        <f t="shared" si="4"/>
        <v>29</v>
      </c>
      <c r="H59" s="123">
        <f t="shared" si="6"/>
        <v>45378</v>
      </c>
      <c r="I59" s="123">
        <v>45411</v>
      </c>
      <c r="J59" s="59">
        <f t="shared" si="3"/>
        <v>33</v>
      </c>
      <c r="K59" s="130" t="s">
        <v>295</v>
      </c>
    </row>
    <row r="60" spans="3:11" x14ac:dyDescent="0.25">
      <c r="C60">
        <f>IF(AND('AES Indiana Bill Calc.'!$D$11&gt;=Inputs!E60,'AES Indiana Bill Calc.'!$D$12&gt;=Inputs!F60,'AES Indiana Bill Calc.'!$D$11&lt;=Inputs!H60,'AES Indiana Bill Calc.'!$D$12&lt;=Inputs!I60,'AES Indiana Bill Calc.'!$D$12-'AES Indiana Bill Calc.'!$D$11&gt;=27,'AES Indiana Bill Calc.'!$D$12-'AES Indiana Bill Calc.'!$D$11&lt;=34),"X",)</f>
        <v>0</v>
      </c>
      <c r="D60" s="166">
        <v>45413</v>
      </c>
      <c r="E60" s="123">
        <f t="shared" si="5"/>
        <v>45380</v>
      </c>
      <c r="F60" s="123">
        <v>45412</v>
      </c>
      <c r="G60" s="59">
        <f t="shared" si="4"/>
        <v>32</v>
      </c>
      <c r="H60" s="123">
        <f t="shared" si="6"/>
        <v>45411</v>
      </c>
      <c r="I60" s="123">
        <v>45442</v>
      </c>
      <c r="J60" s="59">
        <f t="shared" si="3"/>
        <v>31</v>
      </c>
      <c r="K60" s="130" t="s">
        <v>319</v>
      </c>
    </row>
    <row r="61" spans="3:11" x14ac:dyDescent="0.25">
      <c r="C61">
        <f>IF(AND('AES Indiana Bill Calc.'!$D$11&gt;=Inputs!E61,'AES Indiana Bill Calc.'!$D$12&gt;=Inputs!F61,'AES Indiana Bill Calc.'!$D$11&lt;=Inputs!H61,'AES Indiana Bill Calc.'!$D$12&lt;=Inputs!I61,'AES Indiana Bill Calc.'!$D$12-'AES Indiana Bill Calc.'!$D$11&gt;=27,'AES Indiana Bill Calc.'!$D$12-'AES Indiana Bill Calc.'!$D$11&lt;=34),"X",)</f>
        <v>0</v>
      </c>
      <c r="D61" s="166">
        <v>45444</v>
      </c>
      <c r="E61" s="123">
        <f t="shared" si="5"/>
        <v>45412</v>
      </c>
      <c r="F61" s="123">
        <v>45443</v>
      </c>
      <c r="G61" s="59">
        <f t="shared" si="4"/>
        <v>31</v>
      </c>
      <c r="H61" s="123">
        <f t="shared" si="6"/>
        <v>45442</v>
      </c>
      <c r="I61" s="123">
        <v>45470</v>
      </c>
      <c r="J61" s="59">
        <f t="shared" si="3"/>
        <v>28</v>
      </c>
      <c r="K61" s="130" t="s">
        <v>318</v>
      </c>
    </row>
    <row r="62" spans="3:11" x14ac:dyDescent="0.25">
      <c r="C62">
        <f>IF(AND('AES Indiana Bill Calc.'!$D$11&gt;=Inputs!E62,'AES Indiana Bill Calc.'!$D$12&gt;=Inputs!F62,'AES Indiana Bill Calc.'!$D$11&lt;=Inputs!H62,'AES Indiana Bill Calc.'!$D$12&lt;=Inputs!I62,'AES Indiana Bill Calc.'!$D$12-'AES Indiana Bill Calc.'!$D$11&gt;=27,'AES Indiana Bill Calc.'!$D$12-'AES Indiana Bill Calc.'!$D$11&lt;=34),"X",)</f>
        <v>0</v>
      </c>
      <c r="D62" s="166">
        <v>45474</v>
      </c>
      <c r="E62" s="123">
        <f t="shared" si="5"/>
        <v>45443</v>
      </c>
      <c r="F62" s="123">
        <v>45471</v>
      </c>
      <c r="G62" s="59">
        <f t="shared" si="4"/>
        <v>28</v>
      </c>
      <c r="H62" s="123">
        <f t="shared" si="6"/>
        <v>45470</v>
      </c>
      <c r="I62" s="123">
        <v>45503</v>
      </c>
      <c r="J62" s="59">
        <f t="shared" si="3"/>
        <v>33</v>
      </c>
      <c r="K62" s="130" t="s">
        <v>334</v>
      </c>
    </row>
    <row r="63" spans="3:11" x14ac:dyDescent="0.25">
      <c r="C63">
        <f>IF(AND('AES Indiana Bill Calc.'!$D$11&gt;=Inputs!E63,'AES Indiana Bill Calc.'!$D$12&gt;=Inputs!F63,'AES Indiana Bill Calc.'!$D$11&lt;=Inputs!H63,'AES Indiana Bill Calc.'!$D$12&lt;=Inputs!I63,'AES Indiana Bill Calc.'!$D$12-'AES Indiana Bill Calc.'!$D$11&gt;=27,'AES Indiana Bill Calc.'!$D$12-'AES Indiana Bill Calc.'!$D$11&lt;=34),"X",)</f>
        <v>0</v>
      </c>
      <c r="D63" s="166">
        <v>45505</v>
      </c>
      <c r="E63" s="123">
        <f t="shared" si="5"/>
        <v>45471</v>
      </c>
      <c r="F63" s="123">
        <v>45504</v>
      </c>
      <c r="G63" s="59">
        <f t="shared" si="4"/>
        <v>33</v>
      </c>
      <c r="H63" s="123">
        <f t="shared" si="6"/>
        <v>45503</v>
      </c>
      <c r="I63" s="123">
        <v>45533</v>
      </c>
      <c r="J63" s="59">
        <f t="shared" si="3"/>
        <v>30</v>
      </c>
      <c r="K63" s="130" t="s">
        <v>336</v>
      </c>
    </row>
    <row r="64" spans="3:11" x14ac:dyDescent="0.25">
      <c r="C64">
        <f>IF(AND('AES Indiana Bill Calc.'!$D$11&gt;=Inputs!E64,'AES Indiana Bill Calc.'!$D$12&gt;=Inputs!F64,'AES Indiana Bill Calc.'!$D$11&lt;=Inputs!H64,'AES Indiana Bill Calc.'!$D$12&lt;=Inputs!I64,'AES Indiana Bill Calc.'!$D$12-'AES Indiana Bill Calc.'!$D$11&gt;=27,'AES Indiana Bill Calc.'!$D$12-'AES Indiana Bill Calc.'!$D$11&lt;=34),"X",)</f>
        <v>0</v>
      </c>
      <c r="D64" s="166">
        <v>45536</v>
      </c>
      <c r="E64" s="123">
        <f t="shared" si="5"/>
        <v>45504</v>
      </c>
      <c r="F64" s="123">
        <v>45534</v>
      </c>
      <c r="G64" s="59">
        <f t="shared" si="4"/>
        <v>30</v>
      </c>
      <c r="H64" s="123">
        <f t="shared" si="6"/>
        <v>45533</v>
      </c>
      <c r="I64" s="123">
        <v>45562</v>
      </c>
      <c r="J64" s="59">
        <f t="shared" si="3"/>
        <v>29</v>
      </c>
      <c r="K64" s="130" t="str">
        <f>E26</f>
        <v>You are using the correct bill calculator. Please enter your billing information below.</v>
      </c>
    </row>
    <row r="65" spans="3:11" x14ac:dyDescent="0.25">
      <c r="C65">
        <f>IF(AND('AES Indiana Bill Calc.'!$D$11&gt;=Inputs!E65,'AES Indiana Bill Calc.'!$D$12&gt;=Inputs!F65,'AES Indiana Bill Calc.'!$D$11&lt;=Inputs!H65,'AES Indiana Bill Calc.'!$D$12&lt;=Inputs!I65,'AES Indiana Bill Calc.'!$D$12-'AES Indiana Bill Calc.'!$D$11&gt;=27,'AES Indiana Bill Calc.'!$D$12-'AES Indiana Bill Calc.'!$D$11&lt;=34),"X",)</f>
        <v>0</v>
      </c>
      <c r="D65" s="166">
        <v>45566</v>
      </c>
      <c r="E65" s="123">
        <f t="shared" si="5"/>
        <v>45534</v>
      </c>
      <c r="F65" s="123">
        <v>45565</v>
      </c>
      <c r="G65" s="59">
        <f t="shared" si="4"/>
        <v>31</v>
      </c>
      <c r="H65" s="123">
        <f t="shared" si="6"/>
        <v>45562</v>
      </c>
      <c r="I65" s="123">
        <v>45595</v>
      </c>
      <c r="J65" s="59">
        <f t="shared" si="3"/>
        <v>33</v>
      </c>
      <c r="K65" s="130" t="s">
        <v>296</v>
      </c>
    </row>
    <row r="66" spans="3:11" x14ac:dyDescent="0.25">
      <c r="C66">
        <f>IF(AND('AES Indiana Bill Calc.'!$D$11&gt;=Inputs!E66,'AES Indiana Bill Calc.'!$D$12&gt;=Inputs!F66,'AES Indiana Bill Calc.'!$D$11&lt;=Inputs!H66,'AES Indiana Bill Calc.'!$D$12&lt;=Inputs!I66,'AES Indiana Bill Calc.'!$D$12-'AES Indiana Bill Calc.'!$D$11&gt;=27,'AES Indiana Bill Calc.'!$D$12-'AES Indiana Bill Calc.'!$D$11&lt;=34),"X",)</f>
        <v>0</v>
      </c>
      <c r="D66" s="166">
        <v>45597</v>
      </c>
      <c r="E66" s="123">
        <f t="shared" si="5"/>
        <v>45565</v>
      </c>
      <c r="F66" s="123">
        <v>45596</v>
      </c>
      <c r="G66" s="59">
        <f t="shared" si="4"/>
        <v>31</v>
      </c>
      <c r="H66" s="123">
        <f t="shared" si="6"/>
        <v>45595</v>
      </c>
      <c r="I66" s="123">
        <v>45622</v>
      </c>
      <c r="J66" s="59">
        <f t="shared" si="3"/>
        <v>27</v>
      </c>
      <c r="K66" s="130" t="s">
        <v>296</v>
      </c>
    </row>
    <row r="67" spans="3:11" x14ac:dyDescent="0.25">
      <c r="C67">
        <f>IF(AND('AES Indiana Bill Calc.'!$D$11&gt;=Inputs!E67,'AES Indiana Bill Calc.'!$D$12&gt;=Inputs!F67,'AES Indiana Bill Calc.'!$D$11&lt;=Inputs!H67,'AES Indiana Bill Calc.'!$D$12&lt;=Inputs!I67,'AES Indiana Bill Calc.'!$D$12-'AES Indiana Bill Calc.'!$D$11&gt;=27,'AES Indiana Bill Calc.'!$D$12-'AES Indiana Bill Calc.'!$D$11&lt;=34),"X",)</f>
        <v>0</v>
      </c>
      <c r="D67" s="166">
        <v>45627</v>
      </c>
      <c r="E67" s="123">
        <f t="shared" si="5"/>
        <v>45596</v>
      </c>
      <c r="F67" s="123">
        <v>45623</v>
      </c>
      <c r="G67" s="59">
        <f t="shared" si="4"/>
        <v>27</v>
      </c>
      <c r="H67" s="123">
        <f t="shared" si="6"/>
        <v>45622</v>
      </c>
      <c r="I67" s="123">
        <v>45656</v>
      </c>
      <c r="J67" s="59">
        <f t="shared" si="3"/>
        <v>34</v>
      </c>
      <c r="K67" s="130" t="s">
        <v>296</v>
      </c>
    </row>
    <row r="68" spans="3:11" x14ac:dyDescent="0.25">
      <c r="C68">
        <f>IF('AES Indiana Bill Calc.'!$D$12&lt;'AES Indiana Bill Calc.'!$D$11,"X",)</f>
        <v>0</v>
      </c>
      <c r="D68" s="130" t="s">
        <v>97</v>
      </c>
      <c r="K68" s="130" t="s">
        <v>98</v>
      </c>
    </row>
    <row r="69" spans="3:11" x14ac:dyDescent="0.25">
      <c r="C69">
        <f>IF(AND('AES Indiana Bill Calc.'!$D$12-'AES Indiana Bill Calc.'!$D$11&lt;27,'AES Indiana Bill Calc.'!$D$11&lt;&gt;"", 'AES Indiana Bill Calc.'!$D$12&lt;&gt;"",'AES Indiana Bill Calc.'!$D$12-'AES Indiana Bill Calc.'!$D$11&gt;=0),"X",)</f>
        <v>0</v>
      </c>
      <c r="D69" s="130" t="s">
        <v>99</v>
      </c>
      <c r="G69">
        <v>27</v>
      </c>
      <c r="K69" s="130" t="s">
        <v>100</v>
      </c>
    </row>
    <row r="70" spans="3:11" x14ac:dyDescent="0.25">
      <c r="C70">
        <f>IF(AND('AES Indiana Bill Calc.'!$D$12-'AES Indiana Bill Calc.'!$D$11&gt;34,'AES Indiana Bill Calc.'!$D$11&lt;&gt;"", 'AES Indiana Bill Calc.'!$D$12&lt;&gt;""),"X",)</f>
        <v>0</v>
      </c>
      <c r="D70" s="130" t="s">
        <v>101</v>
      </c>
      <c r="G70">
        <v>35</v>
      </c>
      <c r="K70" s="130" t="s">
        <v>102</v>
      </c>
    </row>
    <row r="71" spans="3:11" x14ac:dyDescent="0.25">
      <c r="C71" t="str">
        <f>IF(OR('AES Indiana Bill Calc.'!D11="",'AES Indiana Bill Calc.'!D12=""),"X",)</f>
        <v>X</v>
      </c>
      <c r="D71" s="130" t="s">
        <v>103</v>
      </c>
    </row>
    <row r="72" spans="3:11" x14ac:dyDescent="0.25">
      <c r="C72">
        <f>IF(OR(C32="X",C33="X",C34="X",C35="X",C36="X",C37="X",C38="X",C39="X",C40="X",C41="X",C42="X",C43="X",C44="X",C45="X",C46="X",C47="X",C48="X",C49="X",C50="X",C51="X",C52="X",C53="X",C54="X",C55="X",C69="X",C70="X",C68="X",C71="X"),0,"X")</f>
        <v>0</v>
      </c>
      <c r="D72" s="130" t="s">
        <v>104</v>
      </c>
      <c r="K72" s="130" t="s">
        <v>105</v>
      </c>
    </row>
    <row r="75" spans="3:11" x14ac:dyDescent="0.25">
      <c r="D75" s="190" t="e">
        <f>IF(AND(G73&gt;=Inputs!$E$40,G74&gt;=Inputs!I102,G74&lt;=Inputs!I103,G73&lt;=Inputs!K102,'AES Indiana Bill Calc.'!#REF!&lt;=Inputs!L102,G74-G73&lt;=34,G74-G73&gt;=26),Inputs!H88,)</f>
        <v>#REF!</v>
      </c>
      <c r="E75" s="190"/>
      <c r="F75" s="190"/>
      <c r="G75" s="190"/>
    </row>
  </sheetData>
  <mergeCells count="6">
    <mergeCell ref="D75:G75"/>
    <mergeCell ref="E2:F2"/>
    <mergeCell ref="E7:F7"/>
    <mergeCell ref="E30:G30"/>
    <mergeCell ref="C29:K29"/>
    <mergeCell ref="H30:J30"/>
  </mergeCells>
  <phoneticPr fontId="5" type="noConversion"/>
  <hyperlinks>
    <hyperlink ref="F19" r:id="rId1" location="page=2" xr:uid="{00000000-0004-0000-0100-000005000000}"/>
    <hyperlink ref="F21" r:id="rId2" location="page=2" xr:uid="{00000000-0004-0000-0100-000006000000}"/>
    <hyperlink ref="F10" r:id="rId3" location="page=2" xr:uid="{8A76D647-53D6-48EC-B4BD-0D270E7B3BAA}"/>
    <hyperlink ref="F11" r:id="rId4" location="page=2" xr:uid="{CB9BA7A0-7C3D-4748-85D2-9438D8CE3B07}"/>
    <hyperlink ref="F12" r:id="rId5" location="page=2" xr:uid="{CBCB4B91-8BB7-4E96-B040-5F97E99D39DC}"/>
    <hyperlink ref="F15" r:id="rId6" location="page=2" xr:uid="{DBA12F74-8800-4F44-AE3D-39F0C5DFFAA8}"/>
    <hyperlink ref="F17" r:id="rId7" location="page=2" xr:uid="{A5D1FD76-6558-4E49-BA45-C89E77B857B7}"/>
    <hyperlink ref="F18" r:id="rId8" xr:uid="{18D52662-AACA-43D3-B0EE-44B4D1E98CDF}"/>
    <hyperlink ref="F20" r:id="rId9" xr:uid="{4BC5472E-08D8-4313-8926-A2BC341F22B9}"/>
    <hyperlink ref="F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topLeftCell="A30" zoomScaleNormal="100" workbookViewId="0">
      <selection activeCell="K64" sqref="K64"/>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5"/>
      <c r="D1" s="146"/>
      <c r="J1" s="90"/>
      <c r="M1" s="12">
        <v>21</v>
      </c>
      <c r="N1" s="12"/>
      <c r="O1" s="12"/>
      <c r="P1" s="12"/>
      <c r="Q1" s="12"/>
      <c r="R1" s="12">
        <v>6</v>
      </c>
      <c r="S1" s="12">
        <v>3</v>
      </c>
      <c r="T1" s="12">
        <v>22</v>
      </c>
      <c r="U1" s="12">
        <v>13</v>
      </c>
      <c r="V1" s="12">
        <v>20</v>
      </c>
      <c r="W1" s="12">
        <v>24</v>
      </c>
      <c r="X1" s="12">
        <v>25</v>
      </c>
      <c r="Y1" s="12">
        <v>26</v>
      </c>
      <c r="Z1" s="52"/>
      <c r="AA1" s="84"/>
    </row>
    <row r="2" spans="1:27" ht="13.5" thickBot="1" x14ac:dyDescent="0.35">
      <c r="B2" s="196" t="s">
        <v>335</v>
      </c>
      <c r="C2" s="197"/>
      <c r="D2" s="197"/>
      <c r="E2" s="198"/>
      <c r="F2" s="44"/>
      <c r="M2" s="13" t="s">
        <v>106</v>
      </c>
      <c r="N2" s="13"/>
      <c r="O2" s="13"/>
      <c r="P2" s="13"/>
      <c r="Q2" s="13"/>
      <c r="R2" s="13" t="s">
        <v>36</v>
      </c>
      <c r="S2" s="139" t="s">
        <v>38</v>
      </c>
      <c r="T2" s="13" t="s">
        <v>107</v>
      </c>
      <c r="U2" s="13" t="s">
        <v>108</v>
      </c>
      <c r="V2" s="13" t="s">
        <v>109</v>
      </c>
      <c r="W2" s="139" t="s">
        <v>44</v>
      </c>
      <c r="X2" s="139" t="s">
        <v>46</v>
      </c>
      <c r="Y2" s="139" t="s">
        <v>48</v>
      </c>
      <c r="Z2" s="66" t="s">
        <v>110</v>
      </c>
      <c r="AA2" s="85"/>
    </row>
    <row r="3" spans="1:27" x14ac:dyDescent="0.25">
      <c r="A3" s="1"/>
      <c r="B3" s="7"/>
      <c r="C3" s="40"/>
      <c r="D3" s="40"/>
      <c r="F3" s="44"/>
      <c r="L3" t="s">
        <v>111</v>
      </c>
      <c r="M3" s="168">
        <v>2.5999999999999999E-3</v>
      </c>
      <c r="N3" s="119"/>
      <c r="O3" s="119"/>
      <c r="P3" s="119"/>
      <c r="Q3" s="119"/>
      <c r="R3" s="119">
        <v>-7.7250000000000001E-3</v>
      </c>
      <c r="S3" s="174">
        <v>1.8929999999999999E-3</v>
      </c>
      <c r="T3" s="119">
        <v>3.5249999999999999E-3</v>
      </c>
      <c r="U3" s="120">
        <v>0</v>
      </c>
      <c r="V3" s="119">
        <v>3.375E-3</v>
      </c>
      <c r="W3" s="119">
        <v>-1.379E-3</v>
      </c>
      <c r="X3" s="119">
        <v>5.5400000000000002E-4</v>
      </c>
      <c r="Y3" s="119">
        <v>-4.7699999999999999E-4</v>
      </c>
      <c r="Z3" s="19">
        <f>SUM(S3:Y3)</f>
        <v>7.4910000000000011E-3</v>
      </c>
      <c r="AA3" s="19"/>
    </row>
    <row r="4" spans="1:27" x14ac:dyDescent="0.25">
      <c r="B4" s="1"/>
      <c r="C4" s="40"/>
      <c r="D4" s="40"/>
      <c r="F4" s="44"/>
      <c r="L4" t="s">
        <v>112</v>
      </c>
      <c r="M4" s="19">
        <f>+M3</f>
        <v>2.5999999999999999E-3</v>
      </c>
      <c r="N4" s="19"/>
      <c r="O4" s="19"/>
      <c r="P4" s="19"/>
      <c r="Q4" s="19"/>
      <c r="R4" s="19">
        <f>R3</f>
        <v>-7.7250000000000001E-3</v>
      </c>
      <c r="S4" s="174">
        <v>1.523E-3</v>
      </c>
      <c r="T4" s="119">
        <v>6.6499999999999997E-3</v>
      </c>
      <c r="U4" s="120">
        <v>0</v>
      </c>
      <c r="V4" s="119">
        <v>3.2620000000000001E-3</v>
      </c>
      <c r="W4" s="119">
        <v>-1.3760000000000001E-3</v>
      </c>
      <c r="X4" s="119">
        <v>4.8899999999999996E-4</v>
      </c>
      <c r="Y4" s="119">
        <v>-4.5600000000000003E-4</v>
      </c>
      <c r="Z4" s="19">
        <f>SUM(S4:Y4)</f>
        <v>1.0092E-2</v>
      </c>
      <c r="AA4" s="19"/>
    </row>
    <row r="5" spans="1:27" x14ac:dyDescent="0.25">
      <c r="A5" s="44"/>
      <c r="B5" s="1"/>
      <c r="C5" s="40"/>
      <c r="D5" s="40"/>
      <c r="F5" s="44"/>
      <c r="K5" t="s">
        <v>113</v>
      </c>
      <c r="L5" t="s">
        <v>114</v>
      </c>
      <c r="M5" s="19">
        <f>+M4</f>
        <v>2.5999999999999999E-3</v>
      </c>
      <c r="N5" s="19"/>
      <c r="O5" s="19"/>
      <c r="P5" s="19"/>
      <c r="Q5" s="19"/>
      <c r="R5" s="19">
        <f>+R4</f>
        <v>-7.7250000000000001E-3</v>
      </c>
      <c r="S5" s="119">
        <v>6.1300000000000005E-4</v>
      </c>
      <c r="T5" s="119">
        <v>5.5240000000000003E-3</v>
      </c>
      <c r="U5" s="120">
        <v>0</v>
      </c>
      <c r="V5" s="102">
        <v>2.9169999999999999E-3</v>
      </c>
      <c r="W5" s="102">
        <v>-9.9299999999999996E-4</v>
      </c>
      <c r="X5" s="102">
        <v>2.5500000000000002E-4</v>
      </c>
      <c r="Y5" s="102">
        <v>-4.08E-4</v>
      </c>
      <c r="Z5" s="19">
        <f>SUM(S5:Y5)</f>
        <v>7.9079999999999984E-3</v>
      </c>
      <c r="AA5" s="19"/>
    </row>
    <row r="6" spans="1:27" x14ac:dyDescent="0.25">
      <c r="A6" s="44"/>
      <c r="B6" s="1"/>
      <c r="C6" s="40"/>
      <c r="D6" s="40"/>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5">
      <c r="A7" s="44"/>
      <c r="B7" s="1"/>
      <c r="C7" s="40"/>
      <c r="D7" s="40"/>
      <c r="F7" s="44"/>
      <c r="J7" s="130"/>
      <c r="M7" s="19"/>
      <c r="N7" s="19"/>
      <c r="O7" s="19"/>
      <c r="P7" s="19"/>
      <c r="Q7" s="19"/>
      <c r="R7" s="19"/>
      <c r="S7" s="119"/>
      <c r="T7" s="119"/>
      <c r="U7" s="120"/>
      <c r="V7" s="102"/>
      <c r="W7" s="102"/>
      <c r="X7" s="102"/>
      <c r="Y7" s="69"/>
      <c r="Z7" s="19"/>
      <c r="AA7" s="19"/>
    </row>
    <row r="8" spans="1:27" x14ac:dyDescent="0.25">
      <c r="A8" s="44"/>
      <c r="B8" s="1"/>
      <c r="C8" s="40"/>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5">
      <c r="A9" s="44"/>
      <c r="B9" s="1"/>
      <c r="C9" s="40"/>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5">
      <c r="A10" s="44"/>
      <c r="B10" s="1"/>
      <c r="C10" s="40"/>
      <c r="D10" s="40"/>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5">
      <c r="A11" s="44"/>
      <c r="B11" s="1"/>
      <c r="C11" s="40"/>
      <c r="D11" s="40"/>
      <c r="F11" s="44"/>
      <c r="J11" s="130" t="s">
        <v>119</v>
      </c>
      <c r="K11" s="130" t="s">
        <v>120</v>
      </c>
      <c r="L11" t="s">
        <v>112</v>
      </c>
      <c r="M11" s="19"/>
      <c r="N11" s="19"/>
      <c r="O11" s="19"/>
      <c r="P11" s="19"/>
      <c r="Q11" s="19"/>
      <c r="R11" s="19"/>
      <c r="S11" s="119"/>
      <c r="T11" s="119">
        <v>0</v>
      </c>
      <c r="U11" s="120">
        <v>0</v>
      </c>
      <c r="V11" s="102"/>
      <c r="W11" s="102"/>
      <c r="X11" s="102"/>
      <c r="Y11" s="69"/>
      <c r="Z11" s="19">
        <f>SUM($S$4, T11, $U$4:$Y$4)</f>
        <v>3.4419999999999997E-3</v>
      </c>
      <c r="AA11" s="19"/>
    </row>
    <row r="12" spans="1:27" x14ac:dyDescent="0.25">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2.3840000000000003E-3</v>
      </c>
      <c r="AA12" s="19"/>
    </row>
    <row r="13" spans="1:27" x14ac:dyDescent="0.25">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3.4419999999999997E-3</v>
      </c>
      <c r="AA13" s="19"/>
    </row>
    <row r="14" spans="1:27" x14ac:dyDescent="0.25">
      <c r="A14" s="44"/>
      <c r="B14" s="145"/>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2.3840000000000003E-3</v>
      </c>
      <c r="AA14" s="19"/>
    </row>
    <row r="15" spans="1:27" x14ac:dyDescent="0.25">
      <c r="A15" s="44"/>
      <c r="B15"/>
      <c r="C15" s="40"/>
      <c r="D15" s="40"/>
      <c r="F15" s="44"/>
      <c r="J15" s="130" t="s">
        <v>123</v>
      </c>
      <c r="K15" s="130" t="s">
        <v>124</v>
      </c>
      <c r="L15" t="s">
        <v>112</v>
      </c>
      <c r="M15" s="19"/>
      <c r="N15" s="19"/>
      <c r="O15" s="19"/>
      <c r="P15" s="19"/>
      <c r="Q15" s="19"/>
      <c r="R15" s="19"/>
      <c r="S15" s="119"/>
      <c r="T15" s="171">
        <v>1.37E-4</v>
      </c>
      <c r="U15" s="120"/>
      <c r="V15" s="102"/>
      <c r="W15" s="102"/>
      <c r="X15" s="102"/>
      <c r="Y15" s="69"/>
      <c r="Z15" s="19"/>
      <c r="AA15" s="19"/>
    </row>
    <row r="16" spans="1:27" x14ac:dyDescent="0.25">
      <c r="A16" s="44"/>
      <c r="B16"/>
      <c r="C16" s="40"/>
      <c r="D16" s="40"/>
      <c r="F16" s="44"/>
      <c r="J16" s="130" t="s">
        <v>125</v>
      </c>
      <c r="K16" s="130" t="s">
        <v>124</v>
      </c>
      <c r="L16" t="s">
        <v>114</v>
      </c>
      <c r="M16" s="19"/>
      <c r="N16" s="19"/>
      <c r="O16" s="19"/>
      <c r="P16" s="19"/>
      <c r="Q16" s="19"/>
      <c r="R16" s="19"/>
      <c r="S16" s="119"/>
      <c r="T16" s="171">
        <v>-4.3999999999999999E-5</v>
      </c>
      <c r="U16" s="120"/>
      <c r="V16" s="102"/>
      <c r="W16" s="102"/>
      <c r="X16" s="102"/>
      <c r="Y16" s="69"/>
      <c r="Z16" s="19"/>
      <c r="AA16" s="19"/>
    </row>
    <row r="17" spans="1:27" x14ac:dyDescent="0.25">
      <c r="A17" s="44"/>
      <c r="B17"/>
      <c r="C17" s="40"/>
      <c r="F17" s="44"/>
      <c r="J17" s="130" t="s">
        <v>126</v>
      </c>
      <c r="K17" s="130" t="s">
        <v>124</v>
      </c>
      <c r="L17" s="130" t="s">
        <v>127</v>
      </c>
      <c r="M17" s="19"/>
      <c r="N17" s="19"/>
      <c r="O17" s="19"/>
      <c r="P17" s="19"/>
      <c r="Q17" s="19"/>
      <c r="R17" s="19"/>
      <c r="S17" s="119"/>
      <c r="T17" s="171">
        <v>0</v>
      </c>
      <c r="U17" s="120"/>
      <c r="V17" s="102"/>
      <c r="W17" s="102"/>
      <c r="X17" s="102"/>
      <c r="Y17" s="69"/>
      <c r="Z17" s="19"/>
      <c r="AA17" s="19"/>
    </row>
    <row r="18" spans="1:27" x14ac:dyDescent="0.25">
      <c r="A18" s="44"/>
      <c r="B18"/>
      <c r="C18" s="40"/>
      <c r="F18" s="44"/>
      <c r="J18" s="130"/>
      <c r="K18" s="130" t="s">
        <v>128</v>
      </c>
      <c r="L18" s="130" t="s">
        <v>112</v>
      </c>
      <c r="M18" s="19"/>
      <c r="N18" s="19"/>
      <c r="O18" s="19"/>
      <c r="P18" s="19"/>
      <c r="Q18" s="19"/>
      <c r="R18" s="19"/>
      <c r="S18" s="119"/>
      <c r="T18" s="171">
        <v>-9.0000000000000002E-6</v>
      </c>
      <c r="U18" s="120"/>
      <c r="V18" s="102"/>
      <c r="W18" s="102"/>
      <c r="X18" s="102"/>
      <c r="Y18" s="69"/>
      <c r="Z18" s="19"/>
      <c r="AA18" s="19"/>
    </row>
    <row r="19" spans="1:27" x14ac:dyDescent="0.25">
      <c r="A19" s="44"/>
      <c r="B19"/>
      <c r="C19" s="40"/>
      <c r="F19" s="44"/>
      <c r="J19" s="130"/>
      <c r="K19" s="130" t="s">
        <v>128</v>
      </c>
      <c r="L19" s="130" t="s">
        <v>114</v>
      </c>
      <c r="M19" s="19"/>
      <c r="N19" s="19"/>
      <c r="O19" s="19"/>
      <c r="P19" s="19"/>
      <c r="Q19" s="19"/>
      <c r="R19" s="19"/>
      <c r="S19" s="119"/>
      <c r="T19" s="171">
        <v>1.15E-4</v>
      </c>
      <c r="U19" s="120"/>
      <c r="V19" s="102"/>
      <c r="W19" s="102"/>
      <c r="X19" s="102"/>
      <c r="Y19" s="69"/>
      <c r="Z19" s="19"/>
      <c r="AA19" s="19"/>
    </row>
    <row r="20" spans="1:27" x14ac:dyDescent="0.25">
      <c r="A20" s="44"/>
      <c r="B20"/>
      <c r="C20" s="40"/>
      <c r="F20" s="44"/>
      <c r="J20" s="130"/>
      <c r="K20" s="130" t="s">
        <v>129</v>
      </c>
      <c r="L20" s="130" t="s">
        <v>112</v>
      </c>
      <c r="M20" s="19"/>
      <c r="N20" s="19"/>
      <c r="O20" s="19"/>
      <c r="P20" s="19"/>
      <c r="Q20" s="19"/>
      <c r="R20" s="19"/>
      <c r="S20" s="119"/>
      <c r="T20" s="171">
        <v>-2.5500000000000002E-4</v>
      </c>
      <c r="U20" s="120"/>
      <c r="V20" s="102"/>
      <c r="W20" s="102"/>
      <c r="X20" s="102"/>
      <c r="Y20" s="69"/>
      <c r="Z20" s="19"/>
      <c r="AA20" s="19"/>
    </row>
    <row r="21" spans="1:27" x14ac:dyDescent="0.25">
      <c r="A21" s="44"/>
      <c r="B21"/>
      <c r="C21" s="40"/>
      <c r="F21" s="44"/>
      <c r="I21" s="130"/>
      <c r="J21" s="130"/>
      <c r="K21" s="130" t="s">
        <v>129</v>
      </c>
      <c r="L21" s="130" t="s">
        <v>114</v>
      </c>
      <c r="M21" s="19"/>
      <c r="N21" s="19"/>
      <c r="O21" s="19"/>
      <c r="P21" s="19"/>
      <c r="Q21" s="19"/>
      <c r="R21" s="19"/>
      <c r="S21" s="119"/>
      <c r="T21" s="171">
        <v>4.6099999999999998E-4</v>
      </c>
      <c r="U21" s="120"/>
      <c r="V21" s="102"/>
      <c r="W21" s="102"/>
      <c r="X21" s="102"/>
      <c r="Y21" s="69"/>
      <c r="Z21" s="19"/>
      <c r="AA21" s="19"/>
    </row>
    <row r="22" spans="1:27" x14ac:dyDescent="0.25">
      <c r="A22" s="44"/>
      <c r="B22"/>
      <c r="C22" s="40"/>
      <c r="F22" s="44"/>
      <c r="I22" s="130"/>
      <c r="J22" s="130"/>
      <c r="K22" s="130" t="s">
        <v>130</v>
      </c>
      <c r="L22" s="130" t="s">
        <v>112</v>
      </c>
      <c r="M22" s="19"/>
      <c r="N22" s="19"/>
      <c r="O22" s="19"/>
      <c r="P22" s="19"/>
      <c r="Q22" s="19"/>
      <c r="R22" s="19"/>
      <c r="S22" s="119"/>
      <c r="T22" s="171">
        <v>-2.941E-3</v>
      </c>
      <c r="U22" s="120"/>
      <c r="V22" s="102"/>
      <c r="W22" s="102"/>
      <c r="X22" s="102"/>
      <c r="Y22" s="69"/>
      <c r="Z22" s="19"/>
      <c r="AA22" s="19"/>
    </row>
    <row r="23" spans="1:27" x14ac:dyDescent="0.25">
      <c r="A23" s="44"/>
      <c r="B23"/>
      <c r="C23" s="40"/>
      <c r="F23" s="44"/>
      <c r="J23" s="130"/>
      <c r="K23" s="130" t="s">
        <v>130</v>
      </c>
      <c r="L23" s="130" t="s">
        <v>114</v>
      </c>
      <c r="M23" s="19"/>
      <c r="N23" s="19"/>
      <c r="O23" s="19"/>
      <c r="P23" s="19"/>
      <c r="Q23" s="19"/>
      <c r="R23" s="19"/>
      <c r="S23" s="119"/>
      <c r="T23" s="171">
        <v>-8.1300000000000003E-4</v>
      </c>
      <c r="U23" s="120"/>
      <c r="V23" s="102"/>
      <c r="W23" s="102"/>
      <c r="X23" s="102"/>
      <c r="Y23" s="69"/>
      <c r="Z23" s="19"/>
      <c r="AA23" s="19"/>
    </row>
    <row r="24" spans="1:27" ht="13.5" customHeight="1" x14ac:dyDescent="0.25">
      <c r="A24" s="44"/>
      <c r="B24"/>
      <c r="F24" s="44"/>
      <c r="J24" s="130"/>
      <c r="K24" s="130" t="s">
        <v>131</v>
      </c>
      <c r="L24" s="130" t="s">
        <v>112</v>
      </c>
      <c r="M24" s="19"/>
      <c r="N24" s="19"/>
      <c r="O24" s="19"/>
      <c r="P24" s="19"/>
      <c r="Q24" s="19"/>
      <c r="R24" s="19"/>
      <c r="S24" s="119"/>
      <c r="T24" s="171">
        <v>0</v>
      </c>
      <c r="U24" s="120"/>
      <c r="V24" s="102"/>
      <c r="W24" s="102"/>
      <c r="X24" s="102"/>
      <c r="Y24" s="69"/>
      <c r="Z24" s="19"/>
      <c r="AA24" s="19"/>
    </row>
    <row r="25" spans="1:27" ht="13.5" customHeight="1" x14ac:dyDescent="0.25">
      <c r="A25" s="44"/>
      <c r="B25"/>
      <c r="F25" s="44"/>
      <c r="J25" s="130"/>
      <c r="K25" s="130" t="s">
        <v>131</v>
      </c>
      <c r="L25" s="130" t="s">
        <v>114</v>
      </c>
      <c r="M25" s="19"/>
      <c r="N25" s="19"/>
      <c r="O25" s="19"/>
      <c r="P25" s="19"/>
      <c r="Q25" s="19"/>
      <c r="R25" s="19"/>
      <c r="S25" s="119"/>
      <c r="T25" s="171">
        <v>0</v>
      </c>
      <c r="U25" s="120"/>
      <c r="V25" s="102"/>
      <c r="W25" s="102"/>
      <c r="X25" s="102"/>
      <c r="Y25" s="69"/>
      <c r="Z25" s="19"/>
      <c r="AA25" s="19"/>
    </row>
    <row r="26" spans="1:27" ht="13.5" customHeight="1" x14ac:dyDescent="0.25">
      <c r="A26" s="44"/>
      <c r="B26"/>
      <c r="F26" s="44"/>
      <c r="J26" s="130"/>
      <c r="K26" s="130" t="s">
        <v>132</v>
      </c>
      <c r="L26" s="130" t="s">
        <v>112</v>
      </c>
      <c r="M26" s="19"/>
      <c r="N26" s="19"/>
      <c r="O26" s="19"/>
      <c r="P26" s="19"/>
      <c r="Q26" s="19"/>
      <c r="R26" s="19"/>
      <c r="S26" s="119"/>
      <c r="T26" s="171">
        <v>0</v>
      </c>
      <c r="U26" s="120"/>
      <c r="V26" s="102"/>
      <c r="W26" s="102"/>
      <c r="X26" s="102"/>
      <c r="Y26" s="69"/>
      <c r="Z26" s="19"/>
      <c r="AA26" s="19"/>
    </row>
    <row r="27" spans="1:27" ht="13.5" customHeight="1" x14ac:dyDescent="0.25">
      <c r="A27" s="44"/>
      <c r="B27"/>
      <c r="F27" s="44"/>
      <c r="J27" s="130"/>
      <c r="K27" s="130" t="s">
        <v>132</v>
      </c>
      <c r="L27" s="130" t="s">
        <v>114</v>
      </c>
      <c r="M27" s="19"/>
      <c r="N27" s="19"/>
      <c r="O27" s="19"/>
      <c r="P27" s="19"/>
      <c r="Q27" s="19"/>
      <c r="R27" s="19"/>
      <c r="S27" s="119"/>
      <c r="T27" s="171">
        <v>0</v>
      </c>
      <c r="U27" s="120"/>
      <c r="V27" s="102"/>
      <c r="W27" s="102"/>
      <c r="X27" s="102"/>
      <c r="Y27" s="69"/>
      <c r="Z27" s="19"/>
      <c r="AA27" s="19"/>
    </row>
    <row r="28" spans="1:27" ht="13.5" customHeight="1" x14ac:dyDescent="0.25">
      <c r="A28" s="44"/>
      <c r="B28"/>
      <c r="F28" s="44"/>
      <c r="J28" s="130"/>
      <c r="K28" s="172" t="s">
        <v>298</v>
      </c>
      <c r="L28" s="172" t="s">
        <v>112</v>
      </c>
      <c r="M28" s="19"/>
      <c r="N28" s="19"/>
      <c r="O28" s="19"/>
      <c r="P28" s="19"/>
      <c r="Q28" s="19"/>
      <c r="R28" s="19"/>
      <c r="S28" s="119"/>
      <c r="T28" s="168">
        <v>1.15E-3</v>
      </c>
      <c r="U28" s="120"/>
      <c r="V28" s="102"/>
      <c r="W28" s="102"/>
      <c r="X28" s="102"/>
      <c r="Y28" s="69"/>
      <c r="Z28" s="19"/>
      <c r="AA28" s="19"/>
    </row>
    <row r="29" spans="1:27" ht="13.5" customHeight="1" x14ac:dyDescent="0.25">
      <c r="A29" s="44"/>
      <c r="B29"/>
      <c r="F29" s="44"/>
      <c r="J29" s="130"/>
      <c r="K29" s="172" t="s">
        <v>298</v>
      </c>
      <c r="L29" s="172" t="s">
        <v>114</v>
      </c>
      <c r="M29" s="19"/>
      <c r="N29" s="19"/>
      <c r="O29" s="19"/>
      <c r="P29" s="19"/>
      <c r="Q29" s="19"/>
      <c r="R29" s="19"/>
      <c r="S29" s="119"/>
      <c r="T29" s="168">
        <v>2.6050000000000001E-3</v>
      </c>
      <c r="U29" s="120"/>
      <c r="V29" s="102"/>
      <c r="W29" s="102"/>
      <c r="X29" s="102"/>
      <c r="Y29" s="69"/>
      <c r="Z29" s="19"/>
      <c r="AA29" s="19"/>
    </row>
    <row r="30" spans="1:27" x14ac:dyDescent="0.25">
      <c r="A30" s="44"/>
      <c r="F30" s="65"/>
      <c r="L30" t="s">
        <v>133</v>
      </c>
      <c r="M30" s="19">
        <f>M3</f>
        <v>2.5999999999999999E-3</v>
      </c>
      <c r="N30" s="19"/>
      <c r="O30" s="19"/>
      <c r="P30" s="19"/>
      <c r="Q30" s="19"/>
      <c r="R30" s="19"/>
      <c r="S30" s="101">
        <v>1.305E-3</v>
      </c>
      <c r="T30" s="169"/>
      <c r="U30" s="120">
        <v>0</v>
      </c>
      <c r="V30" s="102">
        <v>2.5569999999999998E-3</v>
      </c>
      <c r="W30" s="102">
        <v>-1.771E-3</v>
      </c>
      <c r="X30" s="102">
        <v>6.2500000000000001E-4</v>
      </c>
      <c r="Y30" s="102">
        <v>-3.4600000000000001E-4</v>
      </c>
      <c r="Z30" s="19">
        <f>SUM(S30:Y30)</f>
        <v>2.3700000000000001E-3</v>
      </c>
      <c r="AA30" s="19"/>
    </row>
    <row r="31" spans="1:27" ht="13" x14ac:dyDescent="0.3">
      <c r="A31" s="44"/>
      <c r="C31" s="3"/>
      <c r="F31" s="65"/>
      <c r="L31" t="s">
        <v>134</v>
      </c>
      <c r="M31" s="19"/>
      <c r="N31" s="19"/>
      <c r="O31" s="19"/>
      <c r="P31" s="19"/>
      <c r="Q31" s="19"/>
      <c r="R31" s="19"/>
      <c r="S31" s="101">
        <v>1.305E-3</v>
      </c>
      <c r="T31" s="169"/>
      <c r="U31" s="120"/>
      <c r="V31" s="102">
        <v>2.5569999999999998E-3</v>
      </c>
      <c r="W31" s="102">
        <v>-1.771E-3</v>
      </c>
      <c r="X31" s="102">
        <v>6.2500000000000001E-4</v>
      </c>
      <c r="Y31" s="102">
        <v>-3.4600000000000001E-4</v>
      </c>
      <c r="Z31" s="19"/>
      <c r="AA31" s="19"/>
    </row>
    <row r="32" spans="1:27" x14ac:dyDescent="0.25">
      <c r="A32" s="44"/>
      <c r="C32" s="4"/>
      <c r="J32" s="130" t="s">
        <v>135</v>
      </c>
      <c r="L32" s="130" t="s">
        <v>127</v>
      </c>
      <c r="R32" s="118">
        <v>7.4180000000000001E-3</v>
      </c>
      <c r="S32" s="101">
        <v>1.305E-3</v>
      </c>
      <c r="T32" s="168">
        <v>6.2779999999999997E-3</v>
      </c>
      <c r="U32" s="6">
        <v>0</v>
      </c>
      <c r="V32" s="102">
        <v>2.5569999999999998E-3</v>
      </c>
      <c r="W32" s="102">
        <v>7.4399999999999998E-4</v>
      </c>
      <c r="X32" s="102">
        <v>5.4299999999999997E-4</v>
      </c>
      <c r="Y32" s="102">
        <v>8.2999999999999998E-5</v>
      </c>
      <c r="Z32" s="19">
        <f>SUM(S32:Y32)</f>
        <v>1.1509999999999999E-2</v>
      </c>
      <c r="AA32" s="19"/>
    </row>
    <row r="33" spans="1:29" x14ac:dyDescent="0.25">
      <c r="A33" s="44"/>
      <c r="C33" s="7"/>
      <c r="G33" s="130"/>
      <c r="K33" s="130" t="s">
        <v>116</v>
      </c>
      <c r="L33" s="130" t="s">
        <v>127</v>
      </c>
      <c r="T33" s="93">
        <v>0</v>
      </c>
    </row>
    <row r="34" spans="1:29" x14ac:dyDescent="0.25">
      <c r="A34" s="44"/>
      <c r="C34" s="7"/>
      <c r="K34" s="130" t="s">
        <v>120</v>
      </c>
      <c r="L34" s="130"/>
      <c r="T34" s="93">
        <v>0</v>
      </c>
    </row>
    <row r="35" spans="1:29" x14ac:dyDescent="0.25">
      <c r="A35" s="44"/>
      <c r="C35" s="7"/>
      <c r="K35" s="130" t="s">
        <v>122</v>
      </c>
      <c r="L35" s="130"/>
      <c r="T35" s="93">
        <v>0</v>
      </c>
    </row>
    <row r="36" spans="1:29" x14ac:dyDescent="0.25">
      <c r="A36" s="44"/>
      <c r="C36" s="7"/>
      <c r="K36" s="130" t="s">
        <v>124</v>
      </c>
      <c r="L36" s="130"/>
      <c r="T36" s="93">
        <v>0</v>
      </c>
    </row>
    <row r="37" spans="1:29" x14ac:dyDescent="0.25">
      <c r="A37" s="44"/>
      <c r="C37" s="7"/>
      <c r="K37" s="130" t="s">
        <v>128</v>
      </c>
      <c r="L37" s="130"/>
      <c r="T37" s="93">
        <v>0</v>
      </c>
    </row>
    <row r="38" spans="1:29" x14ac:dyDescent="0.25">
      <c r="A38" s="44"/>
      <c r="C38" s="7"/>
      <c r="K38" s="130" t="s">
        <v>116</v>
      </c>
      <c r="L38" s="130"/>
      <c r="T38" s="93">
        <v>0</v>
      </c>
    </row>
    <row r="39" spans="1:29" x14ac:dyDescent="0.25">
      <c r="A39" s="44"/>
      <c r="C39" s="7"/>
      <c r="K39" s="130" t="s">
        <v>136</v>
      </c>
      <c r="L39" s="130"/>
      <c r="T39" s="93">
        <v>2.892E-3</v>
      </c>
    </row>
    <row r="40" spans="1:29" x14ac:dyDescent="0.25">
      <c r="B40" s="1"/>
      <c r="C40" s="7"/>
      <c r="F40" s="72">
        <v>12.5</v>
      </c>
      <c r="G40" s="72"/>
      <c r="H40" s="72"/>
      <c r="I40" s="72"/>
      <c r="J40" s="161">
        <v>17</v>
      </c>
      <c r="K40" s="162">
        <v>0.125421</v>
      </c>
      <c r="L40" s="162">
        <v>0.11382200000000001</v>
      </c>
      <c r="S40" s="27">
        <f>+M$3</f>
        <v>2.5999999999999999E-3</v>
      </c>
      <c r="T40" s="27">
        <f t="shared" ref="T40:Z40" si="0">+R$3</f>
        <v>-7.7250000000000001E-3</v>
      </c>
      <c r="U40" s="27">
        <f t="shared" si="0"/>
        <v>1.8929999999999999E-3</v>
      </c>
      <c r="V40" s="27">
        <f t="shared" si="0"/>
        <v>3.5249999999999999E-3</v>
      </c>
      <c r="W40" s="27">
        <f t="shared" si="0"/>
        <v>0</v>
      </c>
      <c r="X40" s="27">
        <f t="shared" si="0"/>
        <v>3.375E-3</v>
      </c>
      <c r="Y40" s="27">
        <f t="shared" si="0"/>
        <v>-1.379E-3</v>
      </c>
      <c r="Z40" s="27">
        <f t="shared" si="0"/>
        <v>5.5400000000000002E-4</v>
      </c>
      <c r="AA40" s="27">
        <f>Y3</f>
        <v>-4.7699999999999999E-4</v>
      </c>
      <c r="AB40" s="19">
        <f>SUM(U40:Z40)</f>
        <v>7.9680000000000011E-3</v>
      </c>
    </row>
    <row r="41" spans="1:29" x14ac:dyDescent="0.25">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5">
      <c r="C42" s="11"/>
      <c r="D42" s="12"/>
      <c r="F42" s="12"/>
      <c r="J42" s="12" t="s">
        <v>137</v>
      </c>
      <c r="K42" s="195" t="s">
        <v>28</v>
      </c>
      <c r="L42" s="195"/>
      <c r="M42" s="12"/>
      <c r="N42" s="143" t="s">
        <v>138</v>
      </c>
      <c r="O42" s="12"/>
      <c r="P42" s="12"/>
      <c r="Q42" s="12"/>
      <c r="R42" s="12"/>
      <c r="S42" s="12">
        <v>21</v>
      </c>
      <c r="T42" s="12">
        <v>6</v>
      </c>
      <c r="U42" s="12">
        <v>3</v>
      </c>
      <c r="V42" s="12">
        <v>22</v>
      </c>
      <c r="W42" s="12">
        <v>13</v>
      </c>
      <c r="X42" s="12">
        <v>20</v>
      </c>
      <c r="Y42" s="12">
        <v>24</v>
      </c>
      <c r="Z42" s="12">
        <v>25</v>
      </c>
      <c r="AA42" s="12">
        <v>26</v>
      </c>
    </row>
    <row r="43" spans="1:29" x14ac:dyDescent="0.25">
      <c r="A43" s="13" t="s">
        <v>139</v>
      </c>
      <c r="B43" s="14" t="s">
        <v>140</v>
      </c>
      <c r="C43" s="14"/>
      <c r="D43" s="139"/>
      <c r="F43" s="13" t="s">
        <v>141</v>
      </c>
      <c r="G43" s="13" t="s">
        <v>142</v>
      </c>
      <c r="H43" s="13" t="s">
        <v>143</v>
      </c>
      <c r="I43" s="12"/>
      <c r="J43" s="13" t="s">
        <v>144</v>
      </c>
      <c r="K43" s="13" t="s">
        <v>145</v>
      </c>
      <c r="L43" s="13" t="s">
        <v>146</v>
      </c>
      <c r="M43" s="15"/>
      <c r="N43" s="15"/>
      <c r="O43" s="15"/>
      <c r="P43" s="15"/>
      <c r="Q43" s="15"/>
      <c r="R43" s="15"/>
      <c r="S43" s="13" t="s">
        <v>106</v>
      </c>
      <c r="T43" s="13" t="s">
        <v>36</v>
      </c>
      <c r="U43" s="139" t="s">
        <v>38</v>
      </c>
      <c r="V43" s="13" t="s">
        <v>107</v>
      </c>
      <c r="W43" s="13" t="s">
        <v>108</v>
      </c>
      <c r="X43" s="13" t="s">
        <v>109</v>
      </c>
      <c r="Y43" s="139" t="s">
        <v>44</v>
      </c>
      <c r="Z43" s="139" t="s">
        <v>46</v>
      </c>
      <c r="AA43" s="139" t="s">
        <v>48</v>
      </c>
      <c r="AB43" s="66" t="s">
        <v>110</v>
      </c>
    </row>
    <row r="44" spans="1:29" x14ac:dyDescent="0.25">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ht="13" x14ac:dyDescent="0.3">
      <c r="B45" s="103">
        <f>IF(AND('AES Indiana Bill Calc.'!$D$17="RS",'AES Indiana Bill Calc.'!$D$18="No"),'AES Indiana Bill Calc.'!$D$19,-1)</f>
        <v>-1</v>
      </c>
      <c r="C45" s="91" t="s">
        <v>147</v>
      </c>
      <c r="F45" s="36" t="s">
        <v>12</v>
      </c>
      <c r="G45" s="17">
        <f>SUM(J45:M45,O45:P45,R45:AA45)</f>
        <v>12.379999999999999</v>
      </c>
      <c r="I45" s="86"/>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0.01</v>
      </c>
      <c r="U45" s="17">
        <f t="shared" si="1"/>
        <v>0</v>
      </c>
      <c r="V45" s="17">
        <f t="shared" si="1"/>
        <v>0</v>
      </c>
      <c r="W45" s="17">
        <f t="shared" si="1"/>
        <v>0</v>
      </c>
      <c r="X45" s="17">
        <f t="shared" si="1"/>
        <v>0</v>
      </c>
      <c r="Y45" s="17">
        <f t="shared" si="1"/>
        <v>0</v>
      </c>
      <c r="Z45" s="17">
        <f t="shared" si="1"/>
        <v>0</v>
      </c>
      <c r="AA45" s="17">
        <f t="shared" si="1"/>
        <v>0</v>
      </c>
      <c r="AB45" s="19">
        <f>SUM(U40:AA40)+S40*S44</f>
        <v>7.4910000000000011E-3</v>
      </c>
      <c r="AC45" s="67" t="str">
        <f>+F45</f>
        <v>RS</v>
      </c>
    </row>
    <row r="46" spans="1:29" ht="13" x14ac:dyDescent="0.3">
      <c r="A46" s="1"/>
      <c r="B46" s="103">
        <v>-1</v>
      </c>
      <c r="F46" s="36"/>
      <c r="G46" s="17"/>
      <c r="H46" s="19"/>
      <c r="I46" s="19"/>
      <c r="J46" s="16"/>
      <c r="K46" s="16"/>
      <c r="L46" s="16"/>
      <c r="M46" s="17"/>
      <c r="N46" s="17"/>
      <c r="O46" s="17"/>
      <c r="P46" s="17"/>
      <c r="Q46" s="17"/>
      <c r="S46" s="50">
        <v>1</v>
      </c>
      <c r="T46" s="17"/>
      <c r="U46" s="17"/>
      <c r="V46" s="17"/>
      <c r="W46" s="17"/>
      <c r="X46" s="17"/>
      <c r="Y46" s="17"/>
      <c r="Z46" s="17"/>
      <c r="AA46" s="17"/>
    </row>
    <row r="47" spans="1:29" ht="13" x14ac:dyDescent="0.3">
      <c r="A47" s="147"/>
      <c r="B47" s="103">
        <f>IF(AND('AES Indiana Bill Calc.'!$D$17="RS",'AES Indiana Bill Calc.'!$D$18="Yes 100%"),'AES Indiana Bill Calc.'!$D$19,-1)</f>
        <v>-1</v>
      </c>
      <c r="C47" s="1" t="s">
        <v>148</v>
      </c>
      <c r="F47" s="36" t="s">
        <v>12</v>
      </c>
      <c r="G47" s="17">
        <f>SUM(J47:M47,O47:P47,R47:AA47)</f>
        <v>12.379999999999999</v>
      </c>
      <c r="H47" s="19" t="e">
        <f>IF(ISBLANK(B47),0,+#REF!/B47)</f>
        <v>#REF!</v>
      </c>
      <c r="I47" s="19"/>
      <c r="J47" s="16">
        <f>IF(ISBLANK(B47),0,IF(B47&gt;J$41,+J$40,+F$40))</f>
        <v>12.5</v>
      </c>
      <c r="K47" s="110">
        <f>IF($B47&gt;K$41,ROUND(K$41*K$40,2),ROUND($B47*K$40,2))</f>
        <v>-0.13</v>
      </c>
      <c r="L47" s="16">
        <f>IF($B47&gt;K$41,ROUND(($B47-K$41)*L$40,2),0)</f>
        <v>0</v>
      </c>
      <c r="M47" s="17"/>
      <c r="N47" s="17">
        <f>SUM(K47:L47)</f>
        <v>-0.13</v>
      </c>
      <c r="O47" s="17"/>
      <c r="P47" s="17"/>
      <c r="Q47" s="17"/>
      <c r="S47" s="17">
        <f>ROUND($B47*S$40*S46,2)</f>
        <v>0</v>
      </c>
      <c r="T47" s="17">
        <f t="shared" ref="T47:AA47" si="2">ROUND($B47*T$40,2)</f>
        <v>0.01</v>
      </c>
      <c r="U47" s="17">
        <f t="shared" si="2"/>
        <v>0</v>
      </c>
      <c r="V47" s="17">
        <f t="shared" si="2"/>
        <v>0</v>
      </c>
      <c r="W47" s="17">
        <f t="shared" si="2"/>
        <v>0</v>
      </c>
      <c r="X47" s="17">
        <f t="shared" si="2"/>
        <v>0</v>
      </c>
      <c r="Y47" s="17">
        <f t="shared" si="2"/>
        <v>0</v>
      </c>
      <c r="Z47" s="17">
        <f t="shared" si="2"/>
        <v>0</v>
      </c>
      <c r="AA47" s="17">
        <f t="shared" si="2"/>
        <v>0</v>
      </c>
      <c r="AB47" s="19">
        <f>SUM(U40:AA40)+S40*S46</f>
        <v>1.0091000000000001E-2</v>
      </c>
      <c r="AC47" s="67" t="str">
        <f>+F47</f>
        <v>RS</v>
      </c>
    </row>
    <row r="48" spans="1:29" ht="13" x14ac:dyDescent="0.3">
      <c r="A48" s="1"/>
      <c r="B48" s="103">
        <v>-1</v>
      </c>
      <c r="F48" s="36"/>
      <c r="G48" s="17"/>
      <c r="H48" s="19"/>
      <c r="I48" s="19"/>
      <c r="J48" s="16"/>
      <c r="K48" s="16"/>
      <c r="L48" s="16"/>
      <c r="M48" s="17"/>
      <c r="N48" s="17"/>
      <c r="O48" s="17"/>
      <c r="P48" s="17"/>
      <c r="Q48" s="17"/>
      <c r="S48" s="50">
        <v>0.5</v>
      </c>
      <c r="T48" s="17"/>
      <c r="U48" s="17"/>
      <c r="V48" s="17"/>
      <c r="W48" s="17"/>
      <c r="X48" s="17"/>
      <c r="Y48" s="17"/>
      <c r="Z48" s="17"/>
      <c r="AA48" s="17"/>
    </row>
    <row r="49" spans="1:29" ht="13" x14ac:dyDescent="0.3">
      <c r="A49" s="147"/>
      <c r="B49" s="103">
        <f>IF(AND('AES Indiana Bill Calc.'!$D$17="RS",'AES Indiana Bill Calc.'!$D$18="Yes 50%"),'AES Indiana Bill Calc.'!$D$19,-1)</f>
        <v>-1</v>
      </c>
      <c r="C49" s="1" t="s">
        <v>149</v>
      </c>
      <c r="F49" s="36" t="s">
        <v>12</v>
      </c>
      <c r="G49" s="17">
        <f>SUM(J49:M49,O49:P49,R49:AA49)</f>
        <v>12.379999999999999</v>
      </c>
      <c r="H49" s="19" t="e">
        <f>IF(ISBLANK(B49),0,+#REF!/B49)</f>
        <v>#REF!</v>
      </c>
      <c r="I49" s="19"/>
      <c r="J49" s="16">
        <f>IF(ISBLANK(B49),0,IF(B49&gt;J$41,+J$40,+F$40))</f>
        <v>12.5</v>
      </c>
      <c r="K49" s="110">
        <f>IF($B49&gt;K$41,ROUND(K$41*K$40,2),ROUND($B49*K$40,2))</f>
        <v>-0.13</v>
      </c>
      <c r="L49" s="16">
        <f>IF($B49&gt;K$41,ROUND(($B49-K$41)*L$40,2),0)</f>
        <v>0</v>
      </c>
      <c r="M49" s="17"/>
      <c r="N49" s="17">
        <f>SUM(K49:L49)</f>
        <v>-0.13</v>
      </c>
      <c r="O49" s="17"/>
      <c r="P49" s="17"/>
      <c r="Q49" s="17"/>
      <c r="S49" s="17">
        <f>ROUND($B49*S$40*S48,2)</f>
        <v>0</v>
      </c>
      <c r="T49" s="17">
        <f t="shared" ref="T49:AA49" si="3">ROUND($B49*T$40,2)</f>
        <v>0.01</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ht="13" x14ac:dyDescent="0.3">
      <c r="A50" s="1"/>
      <c r="B50" s="103">
        <v>-1</v>
      </c>
      <c r="F50" s="36"/>
      <c r="G50" s="17"/>
      <c r="H50" s="19"/>
      <c r="I50" s="19"/>
      <c r="J50" s="16"/>
      <c r="K50" s="16"/>
      <c r="L50" s="16"/>
      <c r="M50" s="17"/>
      <c r="N50" s="17"/>
      <c r="O50" s="17"/>
      <c r="P50" s="17"/>
      <c r="Q50" s="17"/>
      <c r="S50" s="50">
        <v>0.25</v>
      </c>
      <c r="T50" s="17"/>
      <c r="U50" s="17"/>
      <c r="V50" s="17"/>
      <c r="W50" s="17"/>
      <c r="X50" s="17"/>
      <c r="Y50" s="17"/>
      <c r="Z50" s="17"/>
      <c r="AA50" s="17"/>
    </row>
    <row r="51" spans="1:29" ht="13" x14ac:dyDescent="0.3">
      <c r="A51" s="147"/>
      <c r="B51" s="103">
        <f>IF(AND('AES Indiana Bill Calc.'!$D$17="RS",'AES Indiana Bill Calc.'!$D$18="Yes 25%"),'AES Indiana Bill Calc.'!$D$19,-1)</f>
        <v>-1</v>
      </c>
      <c r="C51" s="1" t="s">
        <v>150</v>
      </c>
      <c r="F51" s="36" t="s">
        <v>12</v>
      </c>
      <c r="G51" s="17">
        <f>SUM(J51:M51,O51:P51,R51:AA51)</f>
        <v>12.379999999999999</v>
      </c>
      <c r="H51" s="19" t="e">
        <f>IF(ISBLANK(B51),0,+#REF!/B51)</f>
        <v>#REF!</v>
      </c>
      <c r="I51" s="19"/>
      <c r="J51" s="16">
        <f>IF(ISBLANK(B51),0,IF(B51&gt;J$41,+J$40,+F$40))</f>
        <v>12.5</v>
      </c>
      <c r="K51" s="110">
        <f>IF($B51&gt;K$41,ROUND(K$41*K$40,2),ROUND($B51*K$40,2))</f>
        <v>-0.13</v>
      </c>
      <c r="L51" s="16">
        <f>IF($B51&gt;K$41,ROUND(($B51-K$41)*L$40,2),0)</f>
        <v>0</v>
      </c>
      <c r="M51" s="17"/>
      <c r="N51" s="17">
        <f>SUM(K51:L51)</f>
        <v>-0.13</v>
      </c>
      <c r="O51" s="17"/>
      <c r="P51" s="17"/>
      <c r="Q51" s="17"/>
      <c r="S51" s="17">
        <f>ROUND($B51*S$40*S50,2)</f>
        <v>0</v>
      </c>
      <c r="T51" s="17">
        <f t="shared" ref="T51:AA51" si="4">ROUND($B51*T$40,2)</f>
        <v>0.01</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5">
      <c r="B52" s="103">
        <v>-1</v>
      </c>
      <c r="C52" s="78"/>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06">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03">
        <v>-1</v>
      </c>
      <c r="C54" s="40"/>
      <c r="G54" s="42"/>
      <c r="H54" s="19"/>
      <c r="I54" s="19"/>
      <c r="J54" s="82"/>
      <c r="K54" s="82"/>
      <c r="L54" s="82"/>
      <c r="M54" s="42"/>
      <c r="N54" s="42"/>
      <c r="O54" s="42"/>
      <c r="P54" s="42"/>
      <c r="Q54" s="42"/>
      <c r="R54" s="42"/>
      <c r="S54" s="42"/>
      <c r="T54" s="42"/>
      <c r="U54" s="42"/>
      <c r="V54" s="42"/>
      <c r="W54" s="42"/>
      <c r="X54" s="42"/>
      <c r="Y54" s="42"/>
      <c r="Z54" s="42"/>
      <c r="AA54" s="42"/>
    </row>
    <row r="55" spans="1:29" x14ac:dyDescent="0.25">
      <c r="B55" s="103"/>
      <c r="C55" s="7"/>
      <c r="H55" s="19"/>
      <c r="I55" s="19"/>
      <c r="J55" s="16"/>
      <c r="K55" s="16"/>
      <c r="L55" s="16"/>
      <c r="M55" s="17"/>
      <c r="N55" s="17"/>
      <c r="O55" s="17"/>
      <c r="P55" s="17"/>
      <c r="Q55" s="17"/>
      <c r="R55" s="7"/>
      <c r="S55" s="6"/>
      <c r="T55" s="6"/>
      <c r="U55" s="6"/>
      <c r="V55" s="6"/>
      <c r="W55" s="6"/>
      <c r="X55" s="6"/>
      <c r="Y55" s="6"/>
      <c r="Z55" s="6"/>
      <c r="AA55" s="6"/>
    </row>
    <row r="56" spans="1:29" x14ac:dyDescent="0.25">
      <c r="B56" s="103"/>
      <c r="C56" s="26"/>
      <c r="F56" s="72">
        <v>12.5</v>
      </c>
      <c r="G56" s="72">
        <f t="shared" ref="G56:I56" si="5">G70</f>
        <v>0</v>
      </c>
      <c r="H56" s="72">
        <f t="shared" si="5"/>
        <v>0</v>
      </c>
      <c r="I56" s="72">
        <f t="shared" si="5"/>
        <v>0</v>
      </c>
      <c r="J56" s="161">
        <v>17</v>
      </c>
      <c r="K56" s="162">
        <v>0.125421</v>
      </c>
      <c r="L56" s="162">
        <v>0.11382200000000001</v>
      </c>
      <c r="M56" s="162">
        <v>0.101408</v>
      </c>
      <c r="N56" s="71"/>
      <c r="O56" s="71"/>
      <c r="P56" s="71"/>
      <c r="Q56" s="71"/>
      <c r="S56" s="27">
        <f>+M$3</f>
        <v>2.5999999999999999E-3</v>
      </c>
      <c r="T56" s="27">
        <f t="shared" ref="T56:AA56" si="6">+R$3</f>
        <v>-7.7250000000000001E-3</v>
      </c>
      <c r="U56" s="27">
        <f t="shared" si="6"/>
        <v>1.8929999999999999E-3</v>
      </c>
      <c r="V56" s="27">
        <f t="shared" si="6"/>
        <v>3.5249999999999999E-3</v>
      </c>
      <c r="W56" s="27">
        <f t="shared" si="6"/>
        <v>0</v>
      </c>
      <c r="X56" s="27">
        <f t="shared" si="6"/>
        <v>3.375E-3</v>
      </c>
      <c r="Y56" s="27">
        <f t="shared" si="6"/>
        <v>-1.379E-3</v>
      </c>
      <c r="Z56" s="27">
        <f t="shared" si="6"/>
        <v>5.5400000000000002E-4</v>
      </c>
      <c r="AA56" s="27">
        <f t="shared" si="6"/>
        <v>-4.7699999999999999E-4</v>
      </c>
      <c r="AB56" s="19">
        <f>SUM(U56:Z56)</f>
        <v>7.9680000000000011E-3</v>
      </c>
    </row>
    <row r="57" spans="1:29" x14ac:dyDescent="0.25">
      <c r="A57" s="11"/>
      <c r="B57" s="103"/>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5">
      <c r="B58" s="103">
        <v>-1</v>
      </c>
      <c r="C58" s="11"/>
      <c r="D58" s="12"/>
      <c r="F58" s="12"/>
      <c r="J58" s="12" t="s">
        <v>137</v>
      </c>
      <c r="K58" s="195" t="s">
        <v>28</v>
      </c>
      <c r="L58" s="195"/>
      <c r="M58" s="195"/>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141</v>
      </c>
      <c r="G59" s="13" t="s">
        <v>142</v>
      </c>
      <c r="H59" s="13" t="s">
        <v>143</v>
      </c>
      <c r="I59" s="12"/>
      <c r="J59" s="13" t="s">
        <v>144</v>
      </c>
      <c r="K59" s="13" t="s">
        <v>145</v>
      </c>
      <c r="L59" s="13" t="s">
        <v>151</v>
      </c>
      <c r="M59" s="13" t="s">
        <v>152</v>
      </c>
      <c r="N59" s="13"/>
      <c r="O59" s="13"/>
      <c r="P59" s="13"/>
      <c r="Q59" s="13"/>
      <c r="R59" s="15"/>
      <c r="S59" s="13" t="s">
        <v>106</v>
      </c>
      <c r="T59" s="13" t="s">
        <v>36</v>
      </c>
      <c r="U59" s="139" t="s">
        <v>38</v>
      </c>
      <c r="V59" s="13" t="s">
        <v>107</v>
      </c>
      <c r="W59" s="13" t="s">
        <v>108</v>
      </c>
      <c r="X59" s="13" t="s">
        <v>109</v>
      </c>
      <c r="Y59" s="139" t="s">
        <v>44</v>
      </c>
      <c r="Z59" s="139" t="s">
        <v>46</v>
      </c>
      <c r="AA59" s="139" t="s">
        <v>48</v>
      </c>
      <c r="AB59" s="66" t="s">
        <v>110</v>
      </c>
    </row>
    <row r="60" spans="1:29" x14ac:dyDescent="0.25">
      <c r="A60" s="1"/>
      <c r="B60" s="103">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ht="13" x14ac:dyDescent="0.3">
      <c r="B61" s="103">
        <f>IF(AND('AES Indiana Bill Calc.'!$D$17="RC",'AES Indiana Bill Calc.'!$D$18="Yes 25%"),'AES Indiana Bill Calc.'!$D$19,-1)</f>
        <v>-1</v>
      </c>
      <c r="C61" s="78" t="s">
        <v>150</v>
      </c>
      <c r="F61" s="36" t="s">
        <v>52</v>
      </c>
      <c r="G61" s="17">
        <f>SUM(J61:M61,O61:P61,R61:AA61)</f>
        <v>12.379999999999999</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0.01</v>
      </c>
      <c r="U61" s="17">
        <f t="shared" ref="U61:AA67" si="7">ROUND($B61*U$56,2)</f>
        <v>0</v>
      </c>
      <c r="V61" s="17">
        <f t="shared" si="7"/>
        <v>0</v>
      </c>
      <c r="W61" s="17">
        <f t="shared" si="7"/>
        <v>0</v>
      </c>
      <c r="X61" s="17">
        <f t="shared" si="7"/>
        <v>0</v>
      </c>
      <c r="Y61" s="17">
        <f t="shared" si="7"/>
        <v>0</v>
      </c>
      <c r="Z61" s="17">
        <f t="shared" si="7"/>
        <v>0</v>
      </c>
      <c r="AA61" s="17">
        <f t="shared" si="7"/>
        <v>0</v>
      </c>
      <c r="AB61" s="19">
        <f>SUM(U56:AA56)</f>
        <v>7.4910000000000011E-3</v>
      </c>
      <c r="AC61" s="67" t="str">
        <f>+F61</f>
        <v>RC</v>
      </c>
    </row>
    <row r="62" spans="1:29" ht="13" x14ac:dyDescent="0.3">
      <c r="A62" s="1"/>
      <c r="B62" s="103">
        <v>-1</v>
      </c>
      <c r="F62" s="36"/>
      <c r="G62" s="17"/>
      <c r="H62" s="19"/>
      <c r="I62" s="19"/>
      <c r="J62" s="16"/>
      <c r="K62" s="16"/>
      <c r="L62" s="16"/>
      <c r="M62" s="16"/>
      <c r="N62" s="16"/>
      <c r="O62" s="16"/>
      <c r="P62" s="16"/>
      <c r="Q62" s="16"/>
      <c r="S62" s="50">
        <v>0.5</v>
      </c>
      <c r="T62" s="17"/>
      <c r="U62" s="17"/>
      <c r="V62" s="17"/>
      <c r="W62" s="17"/>
      <c r="X62" s="17"/>
      <c r="Y62" s="17"/>
      <c r="Z62" s="17"/>
      <c r="AA62" s="17"/>
    </row>
    <row r="63" spans="1:29" ht="13" x14ac:dyDescent="0.3">
      <c r="B63" s="103">
        <f>IF(AND('AES Indiana Bill Calc.'!$D$17="RC",'AES Indiana Bill Calc.'!$D$18="Yes 50%"),'AES Indiana Bill Calc.'!$D$19,-1)</f>
        <v>-1</v>
      </c>
      <c r="C63" s="1" t="s">
        <v>153</v>
      </c>
      <c r="F63" s="36" t="s">
        <v>52</v>
      </c>
      <c r="G63" s="17">
        <f>SUM(J63:M63,O63:P63,R63:AA63)</f>
        <v>12.379999999999999</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0.01</v>
      </c>
      <c r="U63" s="17">
        <f t="shared" si="7"/>
        <v>0</v>
      </c>
      <c r="V63" s="17">
        <f t="shared" si="7"/>
        <v>0</v>
      </c>
      <c r="W63" s="17">
        <f t="shared" si="7"/>
        <v>0</v>
      </c>
      <c r="X63" s="17">
        <f t="shared" si="7"/>
        <v>0</v>
      </c>
      <c r="Y63" s="17">
        <f t="shared" si="7"/>
        <v>0</v>
      </c>
      <c r="Z63" s="17">
        <f t="shared" si="7"/>
        <v>0</v>
      </c>
      <c r="AA63" s="17">
        <f t="shared" si="7"/>
        <v>0</v>
      </c>
      <c r="AB63" s="19">
        <f>SUM(U56:AA56)+S56*S62</f>
        <v>8.7910000000000002E-3</v>
      </c>
      <c r="AC63" s="67" t="str">
        <f>+F63</f>
        <v>RC</v>
      </c>
    </row>
    <row r="64" spans="1:29" ht="13" x14ac:dyDescent="0.3">
      <c r="A64" s="1"/>
      <c r="B64" s="103">
        <v>-1</v>
      </c>
      <c r="F64" s="36"/>
      <c r="G64" s="17"/>
      <c r="H64" s="19"/>
      <c r="I64" s="19"/>
      <c r="J64" s="16"/>
      <c r="K64" s="16"/>
      <c r="L64" s="16"/>
      <c r="M64" s="16"/>
      <c r="N64" s="16"/>
      <c r="O64" s="16"/>
      <c r="P64" s="16"/>
      <c r="Q64" s="16"/>
      <c r="S64" s="50">
        <v>0</v>
      </c>
      <c r="T64" s="17"/>
      <c r="U64" s="17"/>
      <c r="V64" s="17"/>
      <c r="W64" s="17"/>
      <c r="X64" s="17"/>
      <c r="Y64" s="17"/>
      <c r="Z64" s="17"/>
      <c r="AA64" s="17"/>
    </row>
    <row r="65" spans="1:29" ht="13" x14ac:dyDescent="0.3">
      <c r="B65" s="103">
        <f>IF(AND('AES Indiana Bill Calc.'!$D$17="RC",'AES Indiana Bill Calc.'!$D$18="No"),'AES Indiana Bill Calc.'!$D$19,-1)</f>
        <v>-1</v>
      </c>
      <c r="C65" s="1" t="s">
        <v>147</v>
      </c>
      <c r="F65" s="36" t="s">
        <v>52</v>
      </c>
      <c r="G65" s="17">
        <f>SUM(J65:M65,O65:P65,R65:AA65)</f>
        <v>12.379999999999999</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0.01</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ht="13" x14ac:dyDescent="0.3">
      <c r="A66" s="1"/>
      <c r="B66" s="103">
        <v>-1</v>
      </c>
      <c r="F66" s="36"/>
      <c r="G66" s="17"/>
      <c r="H66" s="19"/>
      <c r="I66" s="19"/>
      <c r="J66" s="16"/>
      <c r="K66" s="16"/>
      <c r="L66" s="16"/>
      <c r="M66" s="16"/>
      <c r="N66" s="16"/>
      <c r="O66" s="16"/>
      <c r="P66" s="16"/>
      <c r="Q66" s="16"/>
      <c r="S66" s="50">
        <v>1</v>
      </c>
      <c r="T66" s="17"/>
      <c r="U66" s="17"/>
      <c r="V66" s="17"/>
      <c r="W66" s="17"/>
      <c r="X66" s="17"/>
      <c r="Y66" s="17"/>
      <c r="Z66" s="17"/>
      <c r="AA66" s="17"/>
    </row>
    <row r="67" spans="1:29" ht="13" x14ac:dyDescent="0.3">
      <c r="B67" s="103">
        <f>IF(AND('AES Indiana Bill Calc.'!$D$17="RC",'AES Indiana Bill Calc.'!$D$18="Yes 100%"),'AES Indiana Bill Calc.'!$D$19,-1)</f>
        <v>-1</v>
      </c>
      <c r="C67" s="1" t="s">
        <v>148</v>
      </c>
      <c r="F67" s="36" t="s">
        <v>52</v>
      </c>
      <c r="G67" s="17">
        <f>SUM(J67:M67,O67:P67,R67:AA67)</f>
        <v>12.379999999999999</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0.01</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5">
      <c r="B68" s="103">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03">
        <v>-1</v>
      </c>
      <c r="C69" s="4"/>
      <c r="H69" s="19"/>
      <c r="I69" s="19"/>
      <c r="J69" s="8"/>
      <c r="K69" s="16"/>
      <c r="L69" s="16"/>
      <c r="M69" s="17"/>
      <c r="N69" s="17"/>
      <c r="O69" s="17"/>
      <c r="P69" s="17"/>
      <c r="Q69" s="17"/>
      <c r="R69" s="17"/>
      <c r="S69" s="6"/>
      <c r="T69" s="6"/>
      <c r="U69" s="6"/>
      <c r="V69" s="6"/>
      <c r="W69" s="6"/>
      <c r="X69" s="6"/>
      <c r="Y69" s="6"/>
      <c r="Z69" s="6"/>
      <c r="AA69" s="6"/>
    </row>
    <row r="70" spans="1:29" x14ac:dyDescent="0.25">
      <c r="B70" s="103">
        <v>-1</v>
      </c>
      <c r="C70" s="4"/>
      <c r="F70" s="72">
        <f>F56</f>
        <v>12.5</v>
      </c>
      <c r="G70" s="72"/>
      <c r="H70" s="72"/>
      <c r="I70" s="72"/>
      <c r="J70" s="161">
        <f>J56</f>
        <v>17</v>
      </c>
      <c r="K70" s="162">
        <f>K56</f>
        <v>0.125421</v>
      </c>
      <c r="L70" s="162">
        <f>L56</f>
        <v>0.11382200000000001</v>
      </c>
      <c r="M70" s="162">
        <f>M56</f>
        <v>0.101408</v>
      </c>
      <c r="N70" s="71"/>
      <c r="O70" s="71"/>
      <c r="P70" s="71"/>
      <c r="Q70" s="71"/>
      <c r="R70" s="5"/>
      <c r="S70" s="27">
        <f>+M$3</f>
        <v>2.5999999999999999E-3</v>
      </c>
      <c r="T70" s="27">
        <f t="shared" ref="T70:AA70" si="8">+R$3</f>
        <v>-7.7250000000000001E-3</v>
      </c>
      <c r="U70" s="27">
        <f t="shared" si="8"/>
        <v>1.8929999999999999E-3</v>
      </c>
      <c r="V70" s="27">
        <f t="shared" si="8"/>
        <v>3.5249999999999999E-3</v>
      </c>
      <c r="W70" s="27">
        <f t="shared" si="8"/>
        <v>0</v>
      </c>
      <c r="X70" s="27">
        <f t="shared" si="8"/>
        <v>3.375E-3</v>
      </c>
      <c r="Y70" s="27">
        <f t="shared" si="8"/>
        <v>-1.379E-3</v>
      </c>
      <c r="Z70" s="27">
        <f t="shared" si="8"/>
        <v>5.5400000000000002E-4</v>
      </c>
      <c r="AA70" s="27">
        <f t="shared" si="8"/>
        <v>-4.7699999999999999E-4</v>
      </c>
      <c r="AB70" s="19">
        <f>SUM(U70:Z70)</f>
        <v>7.9680000000000011E-3</v>
      </c>
    </row>
    <row r="71" spans="1:29" x14ac:dyDescent="0.25">
      <c r="A71" s="11"/>
      <c r="B71" s="103">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ht="13" x14ac:dyDescent="0.3">
      <c r="B72" s="103">
        <v>-1</v>
      </c>
      <c r="C72" s="29"/>
      <c r="F72" s="12"/>
      <c r="J72" s="12" t="s">
        <v>137</v>
      </c>
      <c r="K72" s="195" t="s">
        <v>28</v>
      </c>
      <c r="L72" s="195"/>
      <c r="M72" s="195"/>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141</v>
      </c>
      <c r="G73" s="13" t="s">
        <v>142</v>
      </c>
      <c r="H73" s="13" t="s">
        <v>143</v>
      </c>
      <c r="I73" s="12"/>
      <c r="J73" s="13" t="s">
        <v>144</v>
      </c>
      <c r="K73" s="13" t="s">
        <v>145</v>
      </c>
      <c r="L73" s="13" t="s">
        <v>151</v>
      </c>
      <c r="M73" s="13" t="s">
        <v>152</v>
      </c>
      <c r="N73" s="13"/>
      <c r="O73" s="13"/>
      <c r="P73" s="13"/>
      <c r="Q73" s="13"/>
      <c r="R73" s="13"/>
      <c r="S73" s="13" t="s">
        <v>106</v>
      </c>
      <c r="T73" s="13" t="s">
        <v>36</v>
      </c>
      <c r="U73" s="139" t="s">
        <v>38</v>
      </c>
      <c r="V73" s="13" t="s">
        <v>107</v>
      </c>
      <c r="W73" s="13" t="s">
        <v>108</v>
      </c>
      <c r="X73" s="13" t="s">
        <v>109</v>
      </c>
      <c r="Y73" s="139" t="s">
        <v>44</v>
      </c>
      <c r="Z73" s="139" t="s">
        <v>46</v>
      </c>
      <c r="AA73" s="139" t="s">
        <v>48</v>
      </c>
      <c r="AB73" s="66" t="s">
        <v>110</v>
      </c>
    </row>
    <row r="74" spans="1:29" x14ac:dyDescent="0.25">
      <c r="A74" s="1"/>
      <c r="B74" s="103">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ht="13" x14ac:dyDescent="0.3">
      <c r="B75" s="103">
        <f>IF(AND('AES Indiana Bill Calc.'!$D$17="RH",'AES Indiana Bill Calc.'!$D$18="No"),'AES Indiana Bill Calc.'!$D$19,-1)</f>
        <v>-1</v>
      </c>
      <c r="C75" s="1" t="s">
        <v>147</v>
      </c>
      <c r="F75" s="36" t="s">
        <v>53</v>
      </c>
      <c r="G75" s="17">
        <f>SUM(J75:M75,O75:P75,R75:AA75)</f>
        <v>12.379999999999999</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0.01</v>
      </c>
      <c r="U75" s="17">
        <f t="shared" si="9"/>
        <v>0</v>
      </c>
      <c r="V75" s="17">
        <f t="shared" si="9"/>
        <v>0</v>
      </c>
      <c r="W75" s="17">
        <f t="shared" si="9"/>
        <v>0</v>
      </c>
      <c r="X75" s="17">
        <f t="shared" si="9"/>
        <v>0</v>
      </c>
      <c r="Y75" s="17">
        <f t="shared" si="9"/>
        <v>0</v>
      </c>
      <c r="Z75" s="17">
        <f t="shared" si="9"/>
        <v>0</v>
      </c>
      <c r="AA75" s="17">
        <f t="shared" si="9"/>
        <v>0</v>
      </c>
      <c r="AB75" s="19">
        <f>SUM(U70:AA70)</f>
        <v>7.4910000000000011E-3</v>
      </c>
      <c r="AC75" s="67" t="str">
        <f>+F75</f>
        <v>RH</v>
      </c>
    </row>
    <row r="76" spans="1:29" ht="13" x14ac:dyDescent="0.3">
      <c r="A76" s="78"/>
      <c r="B76" s="103">
        <v>-1</v>
      </c>
      <c r="F76" s="36"/>
      <c r="G76" s="17"/>
      <c r="H76" s="19"/>
      <c r="I76" s="19"/>
      <c r="J76" s="16"/>
      <c r="K76" s="16"/>
      <c r="L76" s="16"/>
      <c r="M76" s="16"/>
      <c r="N76" s="16"/>
      <c r="O76" s="16"/>
      <c r="P76" s="16"/>
      <c r="Q76" s="16"/>
      <c r="R76" s="16"/>
      <c r="S76" s="50">
        <v>1</v>
      </c>
      <c r="T76" s="17"/>
      <c r="U76" s="17"/>
      <c r="V76" s="17"/>
      <c r="W76" s="17"/>
      <c r="X76" s="17"/>
      <c r="Y76" s="17"/>
      <c r="Z76" s="17"/>
      <c r="AA76" s="17"/>
    </row>
    <row r="77" spans="1:29" ht="13" x14ac:dyDescent="0.3">
      <c r="B77" s="103">
        <f>IF(AND('AES Indiana Bill Calc.'!$D$17="RH",'AES Indiana Bill Calc.'!$D$18="Yes 100%"),'AES Indiana Bill Calc.'!$D$19,-1)</f>
        <v>-1</v>
      </c>
      <c r="C77" s="1" t="s">
        <v>148</v>
      </c>
      <c r="F77" s="36" t="s">
        <v>53</v>
      </c>
      <c r="G77" s="17">
        <f>SUM(J77:M77,O77:P77,R77:AA77)</f>
        <v>12.379999999999999</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0.01</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1.0091000000000001E-2</v>
      </c>
      <c r="AC77" s="67" t="str">
        <f>+F77</f>
        <v>RH</v>
      </c>
    </row>
    <row r="78" spans="1:29" ht="13" x14ac:dyDescent="0.3">
      <c r="A78" s="78"/>
      <c r="B78" s="103">
        <v>-1</v>
      </c>
      <c r="F78" s="36"/>
      <c r="G78" s="17"/>
      <c r="H78" s="19"/>
      <c r="I78" s="19"/>
      <c r="J78" s="16"/>
      <c r="K78" s="16"/>
      <c r="L78" s="16"/>
      <c r="M78" s="16"/>
      <c r="N78" s="16"/>
      <c r="O78" s="16"/>
      <c r="P78" s="16"/>
      <c r="Q78" s="16"/>
      <c r="R78" s="16"/>
      <c r="S78" s="50">
        <v>0.5</v>
      </c>
      <c r="T78" s="17"/>
      <c r="U78" s="17"/>
      <c r="V78" s="17"/>
      <c r="W78" s="17"/>
      <c r="X78" s="17"/>
      <c r="Y78" s="17"/>
      <c r="Z78" s="17"/>
      <c r="AA78" s="17"/>
    </row>
    <row r="79" spans="1:29" ht="13" x14ac:dyDescent="0.3">
      <c r="B79" s="103">
        <f>IF(AND('AES Indiana Bill Calc.'!$D$17="RH",'AES Indiana Bill Calc.'!$D$18="Yes 50%"),'AES Indiana Bill Calc.'!$D$19,-1)</f>
        <v>-1</v>
      </c>
      <c r="C79" s="1" t="s">
        <v>149</v>
      </c>
      <c r="F79" s="36" t="s">
        <v>53</v>
      </c>
      <c r="G79" s="17">
        <f>SUM(J79:M79,O79:P79,R79:AA79)</f>
        <v>12.379999999999999</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0.01</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ht="13" x14ac:dyDescent="0.3">
      <c r="A80" s="78"/>
      <c r="B80" s="103">
        <v>-1</v>
      </c>
      <c r="F80" s="36"/>
      <c r="G80" s="17"/>
      <c r="H80" s="19"/>
      <c r="I80" s="19"/>
      <c r="J80" s="16"/>
      <c r="K80" s="16"/>
      <c r="L80" s="16"/>
      <c r="M80" s="16"/>
      <c r="N80" s="16"/>
      <c r="O80" s="16"/>
      <c r="P80" s="16"/>
      <c r="Q80" s="16"/>
      <c r="R80" s="16"/>
      <c r="S80" s="50">
        <v>0.25</v>
      </c>
      <c r="T80" s="17"/>
      <c r="U80" s="17"/>
      <c r="V80" s="17"/>
      <c r="W80" s="17"/>
      <c r="X80" s="17"/>
      <c r="Y80" s="17"/>
      <c r="Z80" s="17"/>
      <c r="AA80" s="17"/>
    </row>
    <row r="81" spans="1:29" ht="13" x14ac:dyDescent="0.3">
      <c r="B81" s="103">
        <f>IF(AND('AES Indiana Bill Calc.'!$D$17="RH",'AES Indiana Bill Calc.'!$D$18="Yes 25%"),'AES Indiana Bill Calc.'!$D$19,-1)</f>
        <v>-1</v>
      </c>
      <c r="C81" s="1" t="s">
        <v>150</v>
      </c>
      <c r="F81" s="36" t="s">
        <v>53</v>
      </c>
      <c r="G81" s="17">
        <f>SUM(J81:M81,O81:P81,R81:AA81)</f>
        <v>12.379999999999999</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0.01</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5">
      <c r="B82" s="103">
        <v>-1</v>
      </c>
      <c r="C82" s="1"/>
      <c r="F82" s="1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06">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03">
        <v>-1</v>
      </c>
      <c r="V84" s="27">
        <f>+T9</f>
        <v>0</v>
      </c>
      <c r="W84" s="6" t="s">
        <v>154</v>
      </c>
      <c r="AB84" s="19" t="e">
        <f>+AB$93-V$93+#REF!</f>
        <v>#REF!</v>
      </c>
    </row>
    <row r="85" spans="1:29" x14ac:dyDescent="0.25">
      <c r="B85" s="103">
        <v>-1</v>
      </c>
      <c r="S85" s="6"/>
      <c r="T85" s="6"/>
      <c r="U85" s="6"/>
      <c r="V85" s="27">
        <f>+T11</f>
        <v>0</v>
      </c>
      <c r="W85" s="6" t="s">
        <v>155</v>
      </c>
      <c r="X85" s="6"/>
      <c r="Y85" s="6"/>
      <c r="Z85" s="6"/>
      <c r="AA85" s="6"/>
      <c r="AB85" s="19">
        <f>+AB$93-V$93+V84</f>
        <v>3.8980000000000004E-3</v>
      </c>
    </row>
    <row r="86" spans="1:29" x14ac:dyDescent="0.25">
      <c r="B86" s="103">
        <v>-1</v>
      </c>
      <c r="S86" s="6"/>
      <c r="T86" s="6"/>
      <c r="U86" s="6"/>
      <c r="V86" s="27">
        <f>T15</f>
        <v>1.37E-4</v>
      </c>
      <c r="W86" s="6" t="s">
        <v>156</v>
      </c>
      <c r="X86" s="6"/>
      <c r="Y86" s="6"/>
      <c r="Z86" s="6"/>
      <c r="AA86" s="6"/>
      <c r="AB86" s="19">
        <f>+AB$93-V$93+V85</f>
        <v>3.8980000000000004E-3</v>
      </c>
    </row>
    <row r="87" spans="1:29" x14ac:dyDescent="0.25">
      <c r="B87" s="103">
        <v>-1</v>
      </c>
      <c r="S87" s="6"/>
      <c r="T87" s="6"/>
      <c r="U87" s="6"/>
      <c r="V87" s="27">
        <f>$T$18</f>
        <v>-9.0000000000000002E-6</v>
      </c>
      <c r="W87" s="6" t="s">
        <v>157</v>
      </c>
      <c r="X87" s="6"/>
      <c r="Y87" s="6"/>
      <c r="Z87" s="6"/>
      <c r="AA87" s="6"/>
      <c r="AB87" s="19"/>
    </row>
    <row r="88" spans="1:29" x14ac:dyDescent="0.25">
      <c r="B88" s="103">
        <v>-1</v>
      </c>
      <c r="S88" s="6"/>
      <c r="T88" s="6"/>
      <c r="U88" s="6"/>
      <c r="V88" s="27">
        <f>$T$20</f>
        <v>-2.5500000000000002E-4</v>
      </c>
      <c r="W88" s="6" t="s">
        <v>158</v>
      </c>
      <c r="X88" s="6"/>
      <c r="Y88" s="6"/>
      <c r="Z88" s="6"/>
      <c r="AA88" s="6"/>
      <c r="AB88" s="19"/>
    </row>
    <row r="89" spans="1:29" x14ac:dyDescent="0.25">
      <c r="B89" s="103">
        <v>-1</v>
      </c>
      <c r="S89" s="6"/>
      <c r="T89" s="6"/>
      <c r="U89" s="6"/>
      <c r="V89" s="27">
        <f>$T$22</f>
        <v>-2.941E-3</v>
      </c>
      <c r="W89" s="6" t="s">
        <v>159</v>
      </c>
      <c r="X89" s="6"/>
      <c r="Y89" s="6"/>
      <c r="Z89" s="6"/>
      <c r="AA89" s="6"/>
      <c r="AB89" s="19"/>
    </row>
    <row r="90" spans="1:29" x14ac:dyDescent="0.25">
      <c r="B90" s="103">
        <v>-1</v>
      </c>
      <c r="S90" s="6"/>
      <c r="T90" s="6"/>
      <c r="U90" s="6"/>
      <c r="V90" s="121">
        <f>T24</f>
        <v>0</v>
      </c>
      <c r="W90" s="6" t="s">
        <v>160</v>
      </c>
      <c r="X90" s="6"/>
      <c r="Y90" s="6"/>
      <c r="Z90" s="6"/>
      <c r="AA90" s="6"/>
      <c r="AB90" s="19"/>
    </row>
    <row r="91" spans="1:29" x14ac:dyDescent="0.25">
      <c r="B91" s="103">
        <v>-1</v>
      </c>
      <c r="S91" s="6"/>
      <c r="T91" s="6"/>
      <c r="U91" s="6"/>
      <c r="V91" s="19">
        <f>T26</f>
        <v>0</v>
      </c>
      <c r="W91" s="6" t="s">
        <v>161</v>
      </c>
      <c r="X91" s="6"/>
      <c r="Y91" s="6"/>
      <c r="Z91" s="6"/>
      <c r="AA91" s="6"/>
      <c r="AB91" s="19"/>
    </row>
    <row r="92" spans="1:29" x14ac:dyDescent="0.25">
      <c r="B92" s="103"/>
      <c r="S92" s="6"/>
      <c r="T92" s="6"/>
      <c r="U92" s="6"/>
      <c r="V92" s="19">
        <f>T28</f>
        <v>1.15E-3</v>
      </c>
      <c r="W92" s="6" t="s">
        <v>301</v>
      </c>
      <c r="X92" s="6"/>
      <c r="Y92" s="6"/>
      <c r="Z92" s="6"/>
      <c r="AA92" s="6"/>
      <c r="AB92" s="19"/>
    </row>
    <row r="93" spans="1:29" x14ac:dyDescent="0.25">
      <c r="B93" s="103">
        <v>-1</v>
      </c>
      <c r="C93" s="4"/>
      <c r="F93" s="160">
        <v>40</v>
      </c>
      <c r="G93" s="70"/>
      <c r="H93" s="70"/>
      <c r="I93" s="70"/>
      <c r="J93" s="161">
        <v>55</v>
      </c>
      <c r="K93" s="162">
        <v>0.12295200000000001</v>
      </c>
      <c r="L93" s="162">
        <v>0.108472</v>
      </c>
      <c r="M93" s="5"/>
      <c r="N93" s="5"/>
      <c r="O93" s="5"/>
      <c r="P93" s="5"/>
      <c r="Q93" s="5"/>
      <c r="R93" s="5"/>
      <c r="S93" s="27">
        <f>+M$4</f>
        <v>2.5999999999999999E-3</v>
      </c>
      <c r="T93" s="27">
        <f t="shared" ref="T93:AA93" si="11">+R$4</f>
        <v>-7.7250000000000001E-3</v>
      </c>
      <c r="U93" s="117">
        <f>+S$4</f>
        <v>1.523E-3</v>
      </c>
      <c r="V93" s="27">
        <f>+T$4</f>
        <v>6.6499999999999997E-3</v>
      </c>
      <c r="W93" s="27">
        <f t="shared" si="11"/>
        <v>0</v>
      </c>
      <c r="X93" s="27">
        <f t="shared" si="11"/>
        <v>3.2620000000000001E-3</v>
      </c>
      <c r="Y93" s="27">
        <f t="shared" si="11"/>
        <v>-1.3760000000000001E-3</v>
      </c>
      <c r="Z93" s="27">
        <f t="shared" si="11"/>
        <v>4.8899999999999996E-4</v>
      </c>
      <c r="AA93" s="27">
        <f t="shared" si="11"/>
        <v>-4.5600000000000003E-4</v>
      </c>
      <c r="AB93" s="19">
        <f>SUM(U93:Z93)</f>
        <v>1.0548E-2</v>
      </c>
    </row>
    <row r="94" spans="1:29" x14ac:dyDescent="0.25">
      <c r="A94" s="1"/>
      <c r="B94" s="103">
        <v>-1</v>
      </c>
      <c r="F94" s="72"/>
      <c r="G94" s="70"/>
      <c r="H94" s="70"/>
      <c r="I94" s="70"/>
      <c r="J94" s="73">
        <v>5000</v>
      </c>
      <c r="K94" s="73">
        <v>5000</v>
      </c>
      <c r="L94" s="70"/>
    </row>
    <row r="95" spans="1:29" x14ac:dyDescent="0.25">
      <c r="B95" s="103">
        <v>-1</v>
      </c>
      <c r="F95" s="12"/>
      <c r="J95" s="12" t="s">
        <v>137</v>
      </c>
      <c r="K95" s="195" t="s">
        <v>28</v>
      </c>
      <c r="L95" s="195"/>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141</v>
      </c>
      <c r="G96" s="13" t="s">
        <v>142</v>
      </c>
      <c r="H96" s="13" t="s">
        <v>143</v>
      </c>
      <c r="I96" s="12"/>
      <c r="J96" s="13" t="s">
        <v>144</v>
      </c>
      <c r="K96" s="13" t="s">
        <v>162</v>
      </c>
      <c r="L96" s="13" t="s">
        <v>163</v>
      </c>
      <c r="M96" s="13"/>
      <c r="N96" s="143" t="s">
        <v>138</v>
      </c>
      <c r="O96" s="13"/>
      <c r="P96" s="13"/>
      <c r="Q96" s="13"/>
      <c r="R96" s="13"/>
      <c r="S96" s="13" t="s">
        <v>106</v>
      </c>
      <c r="T96" s="13" t="s">
        <v>36</v>
      </c>
      <c r="U96" s="139" t="s">
        <v>38</v>
      </c>
      <c r="V96" s="13" t="s">
        <v>107</v>
      </c>
      <c r="W96" s="13" t="s">
        <v>108</v>
      </c>
      <c r="X96" s="13" t="s">
        <v>109</v>
      </c>
      <c r="Y96" s="139" t="s">
        <v>44</v>
      </c>
      <c r="Z96" s="139" t="s">
        <v>46</v>
      </c>
      <c r="AA96" s="139" t="s">
        <v>48</v>
      </c>
      <c r="AB96" s="66" t="s">
        <v>110</v>
      </c>
    </row>
    <row r="97" spans="1:29" x14ac:dyDescent="0.25">
      <c r="B97" s="103">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ht="13" x14ac:dyDescent="0.3">
      <c r="B98" s="103">
        <f>IF(AND('AES Indiana Bill Calc.'!$D$17="SS",'AES Indiana Bill Calc.'!$D$18="No",'AES Indiana Bill Calc.'!$D$20="No"),'AES Indiana Bill Calc.'!$D$19,-1)</f>
        <v>-1</v>
      </c>
      <c r="C98" s="1" t="s">
        <v>147</v>
      </c>
      <c r="F98" s="36" t="s">
        <v>54</v>
      </c>
      <c r="G98" s="17">
        <f>SUM(J98:M98,O98:P98,R98:AA98)</f>
        <v>39.880000000000003</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0.01</v>
      </c>
      <c r="U98" s="116">
        <f t="shared" si="12"/>
        <v>0</v>
      </c>
      <c r="V98" s="17">
        <f>ROUND($B98*V$93,2)</f>
        <v>-0.01</v>
      </c>
      <c r="W98" s="17">
        <f t="shared" si="12"/>
        <v>0</v>
      </c>
      <c r="X98" s="17">
        <f t="shared" si="12"/>
        <v>0</v>
      </c>
      <c r="Y98" s="17">
        <f t="shared" si="12"/>
        <v>0</v>
      </c>
      <c r="Z98" s="17">
        <f t="shared" si="12"/>
        <v>0</v>
      </c>
      <c r="AA98" s="17">
        <f t="shared" si="12"/>
        <v>0</v>
      </c>
      <c r="AB98" s="19">
        <f>SUM(U93:AA93)</f>
        <v>1.0092E-2</v>
      </c>
      <c r="AC98" s="67" t="str">
        <f>+F98</f>
        <v>SS</v>
      </c>
    </row>
    <row r="99" spans="1:29" ht="13" x14ac:dyDescent="0.3">
      <c r="A99" s="70"/>
      <c r="B99" s="103">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ht="13" x14ac:dyDescent="0.3">
      <c r="A100" s="89"/>
      <c r="B100" s="103">
        <f>IF(AND('AES Indiana Bill Calc.'!$D$17="SS",'AES Indiana Bill Calc.'!$D$18="Yes 100%",'AES Indiana Bill Calc.'!$D$20="No"),'AES Indiana Bill Calc.'!$D$19,-1)</f>
        <v>-1</v>
      </c>
      <c r="C100" s="1" t="s">
        <v>148</v>
      </c>
      <c r="F100" s="36" t="s">
        <v>54</v>
      </c>
      <c r="G100" s="17">
        <f>SUM(J100:M100,O100:P100,R100:AA100)</f>
        <v>39.880000000000003</v>
      </c>
      <c r="H100" s="19" t="e">
        <f>IF(ISBLANK(B100),0,+#REF!/B100)</f>
        <v>#REF!</v>
      </c>
      <c r="I100" s="86"/>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0.01</v>
      </c>
      <c r="U100" s="17">
        <f t="shared" si="13"/>
        <v>0</v>
      </c>
      <c r="V100" s="17">
        <f>ROUND($B100*V$93,2)</f>
        <v>-0.01</v>
      </c>
      <c r="W100" s="17">
        <f t="shared" si="13"/>
        <v>0</v>
      </c>
      <c r="X100" s="17">
        <f t="shared" si="13"/>
        <v>0</v>
      </c>
      <c r="Y100" s="17">
        <f t="shared" si="13"/>
        <v>0</v>
      </c>
      <c r="Z100" s="17">
        <f t="shared" si="13"/>
        <v>0</v>
      </c>
      <c r="AA100" s="17">
        <f t="shared" si="13"/>
        <v>0</v>
      </c>
      <c r="AB100" s="19">
        <f>SUM(U$93:AA$93)</f>
        <v>1.0092E-2</v>
      </c>
      <c r="AC100" s="67" t="str">
        <f>+F100</f>
        <v>SS</v>
      </c>
    </row>
    <row r="101" spans="1:29" ht="13" x14ac:dyDescent="0.3">
      <c r="A101" s="70"/>
      <c r="B101" s="103">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ht="13" x14ac:dyDescent="0.3">
      <c r="A102" s="89"/>
      <c r="B102" s="103">
        <f>IF(AND('AES Indiana Bill Calc.'!$D$17="SS",'AES Indiana Bill Calc.'!$D$18="Yes 50%",'AES Indiana Bill Calc.'!$D$20="No"),'AES Indiana Bill Calc.'!$D$19,-1)</f>
        <v>-1</v>
      </c>
      <c r="C102" s="1" t="s">
        <v>149</v>
      </c>
      <c r="F102" s="36" t="s">
        <v>54</v>
      </c>
      <c r="G102" s="17">
        <f>SUM(J102:M102,O102:P102,R102:AA102)</f>
        <v>39.880000000000003</v>
      </c>
      <c r="H102" s="19" t="e">
        <f>IF(ISBLANK(B102),0,+#REF!/B102)</f>
        <v>#REF!</v>
      </c>
      <c r="I102" s="86"/>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0.01</v>
      </c>
      <c r="U102" s="17">
        <f t="shared" si="14"/>
        <v>0</v>
      </c>
      <c r="V102" s="17">
        <f>ROUND($B102*V$93,2)</f>
        <v>-0.01</v>
      </c>
      <c r="W102" s="17">
        <f t="shared" si="14"/>
        <v>0</v>
      </c>
      <c r="X102" s="17">
        <f t="shared" si="14"/>
        <v>0</v>
      </c>
      <c r="Y102" s="17">
        <f t="shared" si="14"/>
        <v>0</v>
      </c>
      <c r="Z102" s="17">
        <f t="shared" si="14"/>
        <v>0</v>
      </c>
      <c r="AA102" s="17">
        <f t="shared" si="14"/>
        <v>0</v>
      </c>
      <c r="AB102" s="19">
        <f>SUM(U$93:AA$93)</f>
        <v>1.0092E-2</v>
      </c>
      <c r="AC102" s="67" t="str">
        <f>+F102</f>
        <v>SS</v>
      </c>
    </row>
    <row r="103" spans="1:29" ht="13" x14ac:dyDescent="0.3">
      <c r="A103" s="70"/>
      <c r="B103" s="103">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ht="13" x14ac:dyDescent="0.3">
      <c r="A104" s="89"/>
      <c r="B104" s="103">
        <f>IF(AND('AES Indiana Bill Calc.'!$D$17="SS",'AES Indiana Bill Calc.'!$D$18="Yes 25%",'AES Indiana Bill Calc.'!$D$20="No"),'AES Indiana Bill Calc.'!$D$19,-1)</f>
        <v>-1</v>
      </c>
      <c r="C104" s="1" t="s">
        <v>150</v>
      </c>
      <c r="F104" s="36" t="s">
        <v>54</v>
      </c>
      <c r="G104" s="17">
        <f>SUM(J104:M104,O104:P104,R104:AA104)</f>
        <v>39.880000000000003</v>
      </c>
      <c r="H104" s="19" t="e">
        <f>IF(ISBLANK(B104),0,+#REF!/B104)</f>
        <v>#REF!</v>
      </c>
      <c r="I104" s="86"/>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0.01</v>
      </c>
      <c r="U104" s="17">
        <f t="shared" si="15"/>
        <v>0</v>
      </c>
      <c r="V104" s="17">
        <f>ROUND($B104*V$93,2)</f>
        <v>-0.01</v>
      </c>
      <c r="W104" s="17">
        <f t="shared" si="15"/>
        <v>0</v>
      </c>
      <c r="X104" s="17">
        <f t="shared" si="15"/>
        <v>0</v>
      </c>
      <c r="Y104" s="17">
        <f t="shared" si="15"/>
        <v>0</v>
      </c>
      <c r="Z104" s="17">
        <f t="shared" si="15"/>
        <v>0</v>
      </c>
      <c r="AA104" s="17">
        <f t="shared" si="15"/>
        <v>0</v>
      </c>
      <c r="AB104" s="19">
        <f>SUM(U$93:AA$93)</f>
        <v>1.0092E-2</v>
      </c>
      <c r="AC104" s="67" t="str">
        <f>+F104</f>
        <v>SS</v>
      </c>
    </row>
    <row r="105" spans="1:29" ht="13" x14ac:dyDescent="0.3">
      <c r="A105" s="70"/>
      <c r="B105" s="103">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ht="13" x14ac:dyDescent="0.3">
      <c r="A106" s="89"/>
      <c r="B106" s="103">
        <f>IF(AND('AES Indiana Bill Calc.'!$D$17="SS",'AES Indiana Bill Calc.'!$D$18="Yes 10%",'AES Indiana Bill Calc.'!$D$20="No"),'AES Indiana Bill Calc.'!$D$19,-1)</f>
        <v>-1</v>
      </c>
      <c r="C106" s="1" t="s">
        <v>164</v>
      </c>
      <c r="F106" s="36" t="s">
        <v>54</v>
      </c>
      <c r="G106" s="17">
        <f>SUM(J106:M106,O106:P106,R106:AA106)</f>
        <v>39.880000000000003</v>
      </c>
      <c r="H106" s="19" t="e">
        <f>IF(ISBLANK(B106),0,+#REF!/B106)</f>
        <v>#REF!</v>
      </c>
      <c r="I106" s="86"/>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0.01</v>
      </c>
      <c r="U106" s="17">
        <f t="shared" si="15"/>
        <v>0</v>
      </c>
      <c r="V106" s="17">
        <f>ROUND($B106*V$93,2)</f>
        <v>-0.01</v>
      </c>
      <c r="W106" s="17">
        <f t="shared" si="15"/>
        <v>0</v>
      </c>
      <c r="X106" s="17">
        <f t="shared" si="15"/>
        <v>0</v>
      </c>
      <c r="Y106" s="17">
        <f t="shared" si="15"/>
        <v>0</v>
      </c>
      <c r="Z106" s="17">
        <f t="shared" si="15"/>
        <v>0</v>
      </c>
      <c r="AA106" s="17">
        <f t="shared" si="15"/>
        <v>0</v>
      </c>
      <c r="AB106" s="19">
        <f>SUM(U$93:AA$93)</f>
        <v>1.0092E-2</v>
      </c>
      <c r="AC106" s="67" t="str">
        <f>+F106</f>
        <v>SS</v>
      </c>
    </row>
    <row r="107" spans="1:29" ht="13" x14ac:dyDescent="0.3">
      <c r="B107" s="103">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ht="13" x14ac:dyDescent="0.3">
      <c r="A108" s="96"/>
      <c r="B108" s="103">
        <f>IF(AND('AES Indiana Bill Calc.'!$D$17="SS",'AES Indiana Bill Calc.'!$D$18="Yes 100%",'AES Indiana Bill Calc.'!$D$20="Yes Before 2018"),'AES Indiana Bill Calc.'!$D$19,-1)</f>
        <v>-1</v>
      </c>
      <c r="C108" s="1" t="s">
        <v>148</v>
      </c>
      <c r="F108" s="36" t="s">
        <v>165</v>
      </c>
      <c r="G108" s="17">
        <f>SUM(J108:M108,O108:P108,R108:AA108)</f>
        <v>39.89</v>
      </c>
      <c r="H108" s="19" t="e">
        <f>IF(ISBLANK(B108),0,+#REF!/B108)</f>
        <v>#REF!</v>
      </c>
      <c r="I108" s="19"/>
      <c r="J108" s="82">
        <f>IF(ISBLANK(B108),0,IF(B108&gt;J$94,+J$93,+F$93))</f>
        <v>40</v>
      </c>
      <c r="K108" s="82">
        <f>IF($B108&gt;K$94,ROUND(K$94*K$93,2),ROUND($B108*K$93,2))</f>
        <v>-0.12</v>
      </c>
      <c r="L108" s="82">
        <f>IF($B108&gt;K$94,ROUND(($B108-K$94)*L$93,2),0)</f>
        <v>0</v>
      </c>
      <c r="M108" s="41"/>
      <c r="N108" s="17">
        <f>SUM(K108:L108)</f>
        <v>-0.12</v>
      </c>
      <c r="O108" s="41"/>
      <c r="P108" s="41"/>
      <c r="Q108" s="41"/>
      <c r="R108" s="41"/>
      <c r="S108" s="42">
        <f>ROUND($B108*S$93*S97,2)</f>
        <v>0</v>
      </c>
      <c r="T108" s="42">
        <f>ROUND($B108*T$93,2)</f>
        <v>0.01</v>
      </c>
      <c r="U108" s="42">
        <f>ROUND($B108*U$93,2)</f>
        <v>0</v>
      </c>
      <c r="V108" s="41">
        <f>ROUND($B108*V85,2)</f>
        <v>0</v>
      </c>
      <c r="W108" s="42">
        <f>ROUND($B108*W$93,2)</f>
        <v>0</v>
      </c>
      <c r="X108" s="42">
        <f>ROUND($B108*X$93,2)</f>
        <v>0</v>
      </c>
      <c r="Y108" s="42">
        <f>ROUND($B108*Y$93,2)</f>
        <v>0</v>
      </c>
      <c r="Z108" s="42">
        <f>ROUND($B108*Z$93,2)</f>
        <v>0</v>
      </c>
      <c r="AA108" s="42">
        <f>ROUND($B108*AA$93,2)</f>
        <v>0</v>
      </c>
      <c r="AB108" s="19">
        <f>SUM(U$93:AA$93)+(-V$93+V77)</f>
        <v>3.4420000000000006E-3</v>
      </c>
      <c r="AC108" s="94" t="str">
        <f>+F108</f>
        <v>SS7</v>
      </c>
    </row>
    <row r="109" spans="1:29" ht="13" x14ac:dyDescent="0.3">
      <c r="B109" s="103">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ht="13" x14ac:dyDescent="0.3">
      <c r="A110" s="96"/>
      <c r="B110" s="103">
        <f>IF(AND('AES Indiana Bill Calc.'!$D$17="SS",'AES Indiana Bill Calc.'!$D$18="Yes 50%",'AES Indiana Bill Calc.'!$D$20="Yes Before 2018"),'AES Indiana Bill Calc.'!$D$19,-1)</f>
        <v>-1</v>
      </c>
      <c r="C110" s="1" t="s">
        <v>149</v>
      </c>
      <c r="F110" s="36" t="s">
        <v>165</v>
      </c>
      <c r="G110" s="17">
        <f>SUM(J110:M110,O110:P110,R110:AA110)</f>
        <v>39.89</v>
      </c>
      <c r="H110" s="19" t="e">
        <f>IF(ISBLANK(B110),0,+#REF!/B110)</f>
        <v>#REF!</v>
      </c>
      <c r="I110" s="19"/>
      <c r="J110" s="82">
        <f>IF(ISBLANK(B110),0,IF(B110&gt;J$94,+J$93,+F$93))</f>
        <v>40</v>
      </c>
      <c r="K110" s="82">
        <f>IF($B110&gt;K$94,ROUND(K$94*K$93,2),ROUND($B110*K$93,2))</f>
        <v>-0.12</v>
      </c>
      <c r="L110" s="82">
        <f>IF($B110&gt;K$94,ROUND(($B110-K$94)*L$93,2),0)</f>
        <v>0</v>
      </c>
      <c r="M110" s="41"/>
      <c r="N110" s="17">
        <f>SUM(K110:L110)</f>
        <v>-0.12</v>
      </c>
      <c r="O110" s="41"/>
      <c r="P110" s="41"/>
      <c r="Q110" s="41"/>
      <c r="R110" s="41"/>
      <c r="S110" s="42">
        <f>ROUND($B110*S$93*S109,2)</f>
        <v>0</v>
      </c>
      <c r="T110" s="42">
        <f>ROUND($B110*T$93,2)</f>
        <v>0.01</v>
      </c>
      <c r="U110" s="42">
        <f>ROUND($B110*U$93,2)</f>
        <v>0</v>
      </c>
      <c r="V110" s="41">
        <f>ROUND($B110*V85,2)</f>
        <v>0</v>
      </c>
      <c r="W110" s="42">
        <f>ROUND($B110*W$93,2)</f>
        <v>0</v>
      </c>
      <c r="X110" s="42">
        <f>ROUND($B110*X$93,2)</f>
        <v>0</v>
      </c>
      <c r="Y110" s="42">
        <f>ROUND($B110*Y$93,2)</f>
        <v>0</v>
      </c>
      <c r="Z110" s="42">
        <f>ROUND($B110*Z$93,2)</f>
        <v>0</v>
      </c>
      <c r="AA110" s="42">
        <f>ROUND($B110*AA$93,2)</f>
        <v>0</v>
      </c>
      <c r="AB110" s="19">
        <f>SUM(U$93:AA$93)+(-V$93+V79)</f>
        <v>3.4420000000000006E-3</v>
      </c>
      <c r="AC110" s="94" t="str">
        <f>+F110</f>
        <v>SS7</v>
      </c>
    </row>
    <row r="111" spans="1:29" ht="13" x14ac:dyDescent="0.3">
      <c r="B111" s="103">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ht="13" x14ac:dyDescent="0.3">
      <c r="A112" s="96"/>
      <c r="B112" s="103">
        <f>IF(AND('AES Indiana Bill Calc.'!$D$17="SS",'AES Indiana Bill Calc.'!$D$18="Yes 25%",'AES Indiana Bill Calc.'!$D$20="Yes Before 2018"),'AES Indiana Bill Calc.'!$D$19,-1)</f>
        <v>-1</v>
      </c>
      <c r="C112" s="1" t="s">
        <v>150</v>
      </c>
      <c r="F112" s="36" t="s">
        <v>165</v>
      </c>
      <c r="G112" s="17">
        <f>SUM(J112:M112,O112:P112,R112:AA112)</f>
        <v>39.89</v>
      </c>
      <c r="H112" s="19" t="e">
        <f>IF(ISBLANK(B112),0,+#REF!/B112)</f>
        <v>#REF!</v>
      </c>
      <c r="I112" s="19"/>
      <c r="J112" s="82">
        <f>IF(ISBLANK(B112),0,IF(B112&gt;J$94,+J$93,+F$93))</f>
        <v>40</v>
      </c>
      <c r="K112" s="82">
        <f>IF($B112&gt;K$94,ROUND(K$94*K$93,2),ROUND($B112*K$93,2))</f>
        <v>-0.12</v>
      </c>
      <c r="L112" s="82">
        <f>IF($B112&gt;K$94,ROUND(($B112-K$94)*L$93,2),0)</f>
        <v>0</v>
      </c>
      <c r="M112" s="41"/>
      <c r="N112" s="17">
        <f>SUM(K112:L112)</f>
        <v>-0.12</v>
      </c>
      <c r="O112" s="41"/>
      <c r="P112" s="41"/>
      <c r="Q112" s="41"/>
      <c r="R112" s="41"/>
      <c r="S112" s="42">
        <f>ROUND($B112*S$93*S111,2)</f>
        <v>0</v>
      </c>
      <c r="T112" s="42">
        <f>ROUND($B112*T$93,2)</f>
        <v>0.01</v>
      </c>
      <c r="U112" s="42">
        <f>ROUND($B112*U$93,2)</f>
        <v>0</v>
      </c>
      <c r="V112" s="41">
        <f>ROUND($B112*V85,2)</f>
        <v>0</v>
      </c>
      <c r="W112" s="42">
        <f>ROUND($B112*W$93,2)</f>
        <v>0</v>
      </c>
      <c r="X112" s="42">
        <f>ROUND($B112*X$93,2)</f>
        <v>0</v>
      </c>
      <c r="Y112" s="42">
        <f>ROUND($B112*Y$93,2)</f>
        <v>0</v>
      </c>
      <c r="Z112" s="42">
        <f>ROUND($B112*Z$93,2)</f>
        <v>0</v>
      </c>
      <c r="AA112" s="42">
        <f>ROUND($B112*AA$93,2)</f>
        <v>0</v>
      </c>
      <c r="AB112" s="19">
        <f>SUM(U$93:AA$93)+(-V$93+V81)</f>
        <v>3.4420000000000006E-3</v>
      </c>
      <c r="AC112" s="94" t="str">
        <f>+F112</f>
        <v>SS7</v>
      </c>
    </row>
    <row r="113" spans="1:29" ht="13" x14ac:dyDescent="0.3">
      <c r="B113" s="103">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ht="13" x14ac:dyDescent="0.3">
      <c r="A114" s="96"/>
      <c r="B114" s="103">
        <f>IF(AND('AES Indiana Bill Calc.'!$D$17="SS",'AES Indiana Bill Calc.'!$D$18="Yes 10%",'AES Indiana Bill Calc.'!$D$20="Yes Before 2018"),'AES Indiana Bill Calc.'!$D$19,-1)</f>
        <v>-1</v>
      </c>
      <c r="C114" s="1" t="s">
        <v>164</v>
      </c>
      <c r="F114" s="36" t="s">
        <v>165</v>
      </c>
      <c r="G114" s="17">
        <f>SUM(J114:M114,O114:P114,R114:AA114)</f>
        <v>39.89</v>
      </c>
      <c r="H114" s="19" t="e">
        <f>IF(ISBLANK(B114),0,+#REF!/B114)</f>
        <v>#REF!</v>
      </c>
      <c r="I114" s="19"/>
      <c r="J114" s="82">
        <f>IF(ISBLANK(B114),0,IF(B114&gt;J$94,+J$93,+F$93))</f>
        <v>40</v>
      </c>
      <c r="K114" s="82">
        <f>IF($B114&gt;K$94,ROUND(K$94*K$93,2),ROUND($B114*K$93,2))</f>
        <v>-0.12</v>
      </c>
      <c r="L114" s="82">
        <f>IF($B114&gt;K$94,ROUND(($B114-K$94)*L$93,2),0)</f>
        <v>0</v>
      </c>
      <c r="M114" s="41"/>
      <c r="N114" s="17">
        <f>SUM(K114:L114)</f>
        <v>-0.12</v>
      </c>
      <c r="O114" s="41"/>
      <c r="P114" s="41"/>
      <c r="Q114" s="41"/>
      <c r="R114" s="41"/>
      <c r="S114" s="42">
        <f>ROUND($B114*S$93*S113,2)</f>
        <v>0</v>
      </c>
      <c r="T114" s="42">
        <f>ROUND($B114*T$93,2)</f>
        <v>0.01</v>
      </c>
      <c r="U114" s="42">
        <f>ROUND($B114*U$93,2)</f>
        <v>0</v>
      </c>
      <c r="V114" s="41">
        <f>ROUND($B114*V85,2)</f>
        <v>0</v>
      </c>
      <c r="W114" s="42">
        <f>ROUND($B114*W$93,2)</f>
        <v>0</v>
      </c>
      <c r="X114" s="42">
        <f>ROUND($B114*X$93,2)</f>
        <v>0</v>
      </c>
      <c r="Y114" s="42">
        <f>ROUND($B114*Y$93,2)</f>
        <v>0</v>
      </c>
      <c r="Z114" s="42">
        <f>ROUND($B114*Z$93,2)</f>
        <v>0</v>
      </c>
      <c r="AA114" s="42">
        <f>ROUND($B114*AA$93,2)</f>
        <v>0</v>
      </c>
      <c r="AB114" s="19">
        <f>SUM(U$93:AA$93)+(-V$93+V83)</f>
        <v>3.4420000000000006E-3</v>
      </c>
      <c r="AC114" s="94" t="str">
        <f>+F114</f>
        <v>SS7</v>
      </c>
    </row>
    <row r="115" spans="1:29" ht="13" x14ac:dyDescent="0.3">
      <c r="B115" s="103">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ht="13" x14ac:dyDescent="0.3">
      <c r="A116" s="96"/>
      <c r="B116" s="103">
        <f>IF(AND('AES Indiana Bill Calc.'!$D$17="SS",'AES Indiana Bill Calc.'!$D$18="No",'AES Indiana Bill Calc.'!$D$20="Yes Before 2018"),'AES Indiana Bill Calc.'!$D$19,-1)</f>
        <v>-1</v>
      </c>
      <c r="C116" s="1" t="s">
        <v>147</v>
      </c>
      <c r="F116" s="36" t="s">
        <v>165</v>
      </c>
      <c r="G116" s="17">
        <f>SUM(J116:M116,O116:P116,R116:AA116)</f>
        <v>39.89</v>
      </c>
      <c r="H116" s="19" t="e">
        <f>IF(ISBLANK(B116),0,+#REF!/B116)</f>
        <v>#REF!</v>
      </c>
      <c r="I116" s="19"/>
      <c r="J116" s="82">
        <f>IF(ISBLANK(B116),0,IF(B116&gt;J$94,+J$93,+F$93))</f>
        <v>40</v>
      </c>
      <c r="K116" s="82">
        <f>IF($B116&gt;K$94,ROUND(K$94*K$93,2),ROUND($B116*K$93,2))</f>
        <v>-0.12</v>
      </c>
      <c r="L116" s="82">
        <f>IF($B116&gt;K$94,ROUND(($B116-K$94)*L$93,2),0)</f>
        <v>0</v>
      </c>
      <c r="M116" s="41"/>
      <c r="N116" s="17">
        <f>SUM(K116:L116)</f>
        <v>-0.12</v>
      </c>
      <c r="O116" s="41"/>
      <c r="P116" s="41"/>
      <c r="Q116" s="41"/>
      <c r="R116" s="41"/>
      <c r="S116" s="42">
        <f>ROUND($B116*S$93*S115,2)</f>
        <v>0</v>
      </c>
      <c r="T116" s="42">
        <f>ROUND($B116*T$93,2)</f>
        <v>0.01</v>
      </c>
      <c r="U116" s="42">
        <f>ROUND($B116*U$93,2)</f>
        <v>0</v>
      </c>
      <c r="V116" s="41">
        <f>ROUND($B116*V85,2)</f>
        <v>0</v>
      </c>
      <c r="W116" s="42">
        <f>ROUND($B116*W$93,2)</f>
        <v>0</v>
      </c>
      <c r="X116" s="42">
        <f>ROUND($B116*X$93,2)</f>
        <v>0</v>
      </c>
      <c r="Y116" s="42">
        <f>ROUND($B116*Y$93,2)</f>
        <v>0</v>
      </c>
      <c r="Z116" s="42">
        <f>ROUND($B116*Z$93,2)</f>
        <v>0</v>
      </c>
      <c r="AA116" s="42">
        <f>ROUND($B116*AA$93,2)</f>
        <v>0</v>
      </c>
      <c r="AB116" s="19">
        <f>SUM(U$93:AA$93)+(-V$93+V84)</f>
        <v>3.4420000000000006E-3</v>
      </c>
      <c r="AC116" s="94" t="str">
        <f>+F116</f>
        <v>SS7</v>
      </c>
    </row>
    <row r="117" spans="1:29" ht="13" x14ac:dyDescent="0.3">
      <c r="B117" s="103">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ht="13" x14ac:dyDescent="0.3">
      <c r="A118" s="96"/>
      <c r="B118" s="103">
        <f>IF(AND('AES Indiana Bill Calc.'!$D$17="SS",'AES Indiana Bill Calc.'!$D$18="Yes 100%",'AES Indiana Bill Calc.'!$D$20="Yes 2018"),'AES Indiana Bill Calc.'!$D$19,-1)</f>
        <v>-1</v>
      </c>
      <c r="C118" s="1" t="s">
        <v>148</v>
      </c>
      <c r="F118" s="36" t="s">
        <v>166</v>
      </c>
      <c r="G118" s="17">
        <f>SUM(J118:M118,O118:P118,R118:AA118)</f>
        <v>39.89</v>
      </c>
      <c r="H118" s="19" t="e">
        <f>IF(ISBLANK(B118),0,+#REF!/B118)</f>
        <v>#REF!</v>
      </c>
      <c r="I118" s="19"/>
      <c r="J118" s="82">
        <f>IF(ISBLANK(B118),0,IF(B118&gt;J$94,+J$93,+F$93))</f>
        <v>40</v>
      </c>
      <c r="K118" s="82">
        <f>IF($B118&gt;K$94,ROUND(K$94*K$93,2),ROUND($B118*K$93,2))</f>
        <v>-0.12</v>
      </c>
      <c r="L118" s="82">
        <f>IF($B118&gt;K$94,ROUND(($B118-K$94)*L$93,2),0)</f>
        <v>0</v>
      </c>
      <c r="M118" s="41"/>
      <c r="N118" s="17">
        <f>SUM(K118:L118)</f>
        <v>-0.12</v>
      </c>
      <c r="O118" s="41"/>
      <c r="P118" s="41"/>
      <c r="Q118" s="41"/>
      <c r="R118" s="41"/>
      <c r="S118" s="42">
        <f>ROUND($B118*S$93*S107,2)</f>
        <v>0</v>
      </c>
      <c r="T118" s="42">
        <f>ROUND($B118*T$93,2)</f>
        <v>0.01</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4" t="str">
        <f>+F118</f>
        <v>SS8</v>
      </c>
    </row>
    <row r="119" spans="1:29" ht="13" x14ac:dyDescent="0.3">
      <c r="B119" s="103">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ht="13" x14ac:dyDescent="0.3">
      <c r="A120" s="96"/>
      <c r="B120" s="103">
        <f>IF(AND('AES Indiana Bill Calc.'!$D$17="SS",'AES Indiana Bill Calc.'!$D$18="Yes 50%",'AES Indiana Bill Calc.'!$D$20="Yes 2018"),'AES Indiana Bill Calc.'!$D$19,-1)</f>
        <v>-1</v>
      </c>
      <c r="C120" s="1" t="s">
        <v>149</v>
      </c>
      <c r="F120" s="36" t="s">
        <v>166</v>
      </c>
      <c r="G120" s="17">
        <f>SUM(J120:M120,O120:P120,R120:AA120)</f>
        <v>39.89</v>
      </c>
      <c r="H120" s="19" t="e">
        <f>IF(ISBLANK(B120),0,+#REF!/B120)</f>
        <v>#REF!</v>
      </c>
      <c r="I120" s="19"/>
      <c r="J120" s="82">
        <f>IF(ISBLANK(B120),0,IF(B120&gt;J$94,+J$93,+F$93))</f>
        <v>40</v>
      </c>
      <c r="K120" s="82">
        <f>IF($B120&gt;K$94,ROUND(K$94*K$93,2),ROUND($B120*K$93,2))</f>
        <v>-0.12</v>
      </c>
      <c r="L120" s="82">
        <f>IF($B120&gt;K$94,ROUND(($B120-K$94)*L$93,2),0)</f>
        <v>0</v>
      </c>
      <c r="M120" s="41"/>
      <c r="N120" s="17">
        <f>SUM(K120:L120)</f>
        <v>-0.12</v>
      </c>
      <c r="O120" s="41"/>
      <c r="P120" s="41"/>
      <c r="Q120" s="41"/>
      <c r="R120" s="41"/>
      <c r="S120" s="42">
        <f>ROUND($B120*S$93*S119,2)</f>
        <v>0</v>
      </c>
      <c r="T120" s="42">
        <f>ROUND($B120*T$93,2)</f>
        <v>0.01</v>
      </c>
      <c r="U120" s="42">
        <f>ROUND($B120*U$93,2)</f>
        <v>0</v>
      </c>
      <c r="V120" s="41">
        <f>ROUND($B120*V$86,2)</f>
        <v>0</v>
      </c>
      <c r="W120" s="42">
        <f>ROUND($B120*W$93,2)</f>
        <v>0</v>
      </c>
      <c r="X120" s="42">
        <f>ROUND($B120*X$93,2)</f>
        <v>0</v>
      </c>
      <c r="Y120" s="42">
        <f>ROUND($B120*Y$93,2)</f>
        <v>0</v>
      </c>
      <c r="Z120" s="42">
        <f>ROUND($B120*Z$93,2)</f>
        <v>0</v>
      </c>
      <c r="AA120" s="42">
        <f>ROUND($B120*AA$93,2)</f>
        <v>0</v>
      </c>
      <c r="AB120" s="19">
        <f>SUM(U$93:AA$93)+(-V$93+V87)</f>
        <v>3.4330000000000003E-3</v>
      </c>
      <c r="AC120" s="94" t="str">
        <f>+F120</f>
        <v>SS8</v>
      </c>
    </row>
    <row r="121" spans="1:29" ht="13" x14ac:dyDescent="0.3">
      <c r="B121" s="103">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ht="13" x14ac:dyDescent="0.3">
      <c r="A122" s="96"/>
      <c r="B122" s="103">
        <f>IF(AND('AES Indiana Bill Calc.'!$D$17="SS",'AES Indiana Bill Calc.'!$D$18="Yes 25%",'AES Indiana Bill Calc.'!$D$20="Yes 2018"),'AES Indiana Bill Calc.'!$D$19,-1)</f>
        <v>-1</v>
      </c>
      <c r="C122" s="1" t="s">
        <v>150</v>
      </c>
      <c r="F122" s="36" t="s">
        <v>166</v>
      </c>
      <c r="G122" s="17">
        <f>SUM(J122:M122,O122:P122,R122:AA122)</f>
        <v>39.89</v>
      </c>
      <c r="H122" s="19" t="e">
        <f>IF(ISBLANK(B122),0,+#REF!/B122)</f>
        <v>#REF!</v>
      </c>
      <c r="I122" s="19"/>
      <c r="J122" s="82">
        <f>IF(ISBLANK(B122),0,IF(B122&gt;J$94,+J$93,+F$93))</f>
        <v>40</v>
      </c>
      <c r="K122" s="82">
        <f>IF($B122&gt;K$94,ROUND(K$94*K$93,2),ROUND($B122*K$93,2))</f>
        <v>-0.12</v>
      </c>
      <c r="L122" s="82">
        <f>IF($B122&gt;K$94,ROUND(($B122-K$94)*L$93,2),0)</f>
        <v>0</v>
      </c>
      <c r="M122" s="41"/>
      <c r="N122" s="17">
        <f>SUM(K122:L122)</f>
        <v>-0.12</v>
      </c>
      <c r="O122" s="41"/>
      <c r="P122" s="41"/>
      <c r="Q122" s="41"/>
      <c r="R122" s="41"/>
      <c r="S122" s="42">
        <f>ROUND($B122*S$93*S121,2)</f>
        <v>0</v>
      </c>
      <c r="T122" s="42">
        <f>ROUND($B122*T$93,2)</f>
        <v>0.01</v>
      </c>
      <c r="U122" s="42">
        <f>ROUND($B122*U$93,2)</f>
        <v>0</v>
      </c>
      <c r="V122" s="41">
        <f>ROUND($B122*V$86,2)</f>
        <v>0</v>
      </c>
      <c r="W122" s="42">
        <f>ROUND($B122*W$93,2)</f>
        <v>0</v>
      </c>
      <c r="X122" s="42">
        <f>ROUND($B122*X$93,2)</f>
        <v>0</v>
      </c>
      <c r="Y122" s="42">
        <f>ROUND($B122*Y$93,2)</f>
        <v>0</v>
      </c>
      <c r="Z122" s="42">
        <f>ROUND($B122*Z$93,2)</f>
        <v>0</v>
      </c>
      <c r="AA122" s="42">
        <f>ROUND($B122*AA$93,2)</f>
        <v>0</v>
      </c>
      <c r="AB122" s="19">
        <f>SUM(U$93:AA$93)+(-V$93+V89)</f>
        <v>5.0100000000000144E-4</v>
      </c>
      <c r="AC122" s="94" t="str">
        <f>+F122</f>
        <v>SS8</v>
      </c>
    </row>
    <row r="123" spans="1:29" ht="13" x14ac:dyDescent="0.3">
      <c r="B123" s="103">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ht="13" x14ac:dyDescent="0.3">
      <c r="A124" s="96"/>
      <c r="B124" s="103">
        <f>IF(AND('AES Indiana Bill Calc.'!$D$17="SS",'AES Indiana Bill Calc.'!$D$18="Yes 10%",'AES Indiana Bill Calc.'!$D$20="Yes 2018"),'AES Indiana Bill Calc.'!$D$19,-1)</f>
        <v>-1</v>
      </c>
      <c r="C124" s="1" t="s">
        <v>164</v>
      </c>
      <c r="F124" s="36" t="s">
        <v>166</v>
      </c>
      <c r="G124" s="17">
        <f>SUM(J124:M124,O124:P124,R124:AA124)</f>
        <v>39.89</v>
      </c>
      <c r="H124" s="19" t="e">
        <f>IF(ISBLANK(B124),0,+#REF!/B124)</f>
        <v>#REF!</v>
      </c>
      <c r="I124" s="19"/>
      <c r="J124" s="82">
        <f>IF(ISBLANK(B124),0,IF(B124&gt;J$94,+J$93,+F$93))</f>
        <v>40</v>
      </c>
      <c r="K124" s="82">
        <f>IF($B124&gt;K$94,ROUND(K$94*K$93,2),ROUND($B124*K$93,2))</f>
        <v>-0.12</v>
      </c>
      <c r="L124" s="82">
        <f>IF($B124&gt;K$94,ROUND(($B124-K$94)*L$93,2),0)</f>
        <v>0</v>
      </c>
      <c r="M124" s="41"/>
      <c r="N124" s="17">
        <f>SUM(K124:L124)</f>
        <v>-0.12</v>
      </c>
      <c r="O124" s="41"/>
      <c r="P124" s="41"/>
      <c r="Q124" s="41"/>
      <c r="R124" s="41"/>
      <c r="S124" s="42">
        <f>ROUND($B124*S$93*S123,2)</f>
        <v>0</v>
      </c>
      <c r="T124" s="42">
        <f>ROUND($B124*T$93,2)</f>
        <v>0.01</v>
      </c>
      <c r="U124" s="42">
        <f>ROUND($B124*U$93,2)</f>
        <v>0</v>
      </c>
      <c r="V124" s="41">
        <f>ROUND($B124*V$86,2)</f>
        <v>0</v>
      </c>
      <c r="W124" s="42">
        <f>ROUND($B124*W$93,2)</f>
        <v>0</v>
      </c>
      <c r="X124" s="42">
        <f>ROUND($B124*X$93,2)</f>
        <v>0</v>
      </c>
      <c r="Y124" s="42">
        <f>ROUND($B124*Y$93,2)</f>
        <v>0</v>
      </c>
      <c r="Z124" s="42">
        <f>ROUND($B124*Z$93,2)</f>
        <v>0</v>
      </c>
      <c r="AA124" s="42">
        <f>ROUND($B124*AA$93,2)</f>
        <v>0</v>
      </c>
      <c r="AB124" s="19">
        <f>SUM(U$93:AA$93)+(-V$93+V90)</f>
        <v>3.4420000000000006E-3</v>
      </c>
      <c r="AC124" s="94" t="str">
        <f>+F124</f>
        <v>SS8</v>
      </c>
    </row>
    <row r="125" spans="1:29" ht="13" x14ac:dyDescent="0.3">
      <c r="B125" s="103">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ht="13" x14ac:dyDescent="0.3">
      <c r="A126" s="96"/>
      <c r="B126" s="103">
        <f>IF(AND('AES Indiana Bill Calc.'!$D$17="SS",'AES Indiana Bill Calc.'!$D$18="No",'AES Indiana Bill Calc.'!$D$20="Yes 2018"),'AES Indiana Bill Calc.'!$D$19,-1)</f>
        <v>-1</v>
      </c>
      <c r="C126" s="1" t="s">
        <v>147</v>
      </c>
      <c r="F126" s="36" t="s">
        <v>166</v>
      </c>
      <c r="G126" s="17">
        <f>SUM(J126:M126,O126:P126,R126:AA126)</f>
        <v>39.89</v>
      </c>
      <c r="H126" s="19" t="e">
        <f>IF(ISBLANK(B126),0,+#REF!/B126)</f>
        <v>#REF!</v>
      </c>
      <c r="I126" s="19"/>
      <c r="J126" s="82">
        <f>IF(ISBLANK(B126),0,IF(B126&gt;J$94,+J$93,+F$93))</f>
        <v>40</v>
      </c>
      <c r="K126" s="82">
        <f>IF($B126&gt;K$94,ROUND(K$94*K$93,2),ROUND($B126*K$93,2))</f>
        <v>-0.12</v>
      </c>
      <c r="L126" s="82">
        <f>IF($B126&gt;K$94,ROUND(($B126-K$94)*L$93,2),0)</f>
        <v>0</v>
      </c>
      <c r="M126" s="41"/>
      <c r="N126" s="17">
        <f>SUM(K126:L126)</f>
        <v>-0.12</v>
      </c>
      <c r="O126" s="41"/>
      <c r="P126" s="41"/>
      <c r="Q126" s="41"/>
      <c r="R126" s="41"/>
      <c r="S126" s="42">
        <f>ROUND($B126*S$93*S125,2)</f>
        <v>0</v>
      </c>
      <c r="T126" s="42">
        <f>ROUND($B126*T$93,2)</f>
        <v>0.01</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4" t="str">
        <f>+F126</f>
        <v>SS8</v>
      </c>
    </row>
    <row r="127" spans="1:29" ht="13" x14ac:dyDescent="0.3">
      <c r="B127" s="103">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ht="13" x14ac:dyDescent="0.3">
      <c r="A128" s="96"/>
      <c r="B128" s="103">
        <f>IF(AND('AES Indiana Bill Calc.'!$D$17="SS",'AES Indiana Bill Calc.'!$D$18="Yes 100%",'AES Indiana Bill Calc.'!$D$20="Yes 2019"),'AES Indiana Bill Calc.'!$D$19,-1)</f>
        <v>-1</v>
      </c>
      <c r="C128" s="1" t="s">
        <v>148</v>
      </c>
      <c r="F128" s="36" t="s">
        <v>167</v>
      </c>
      <c r="G128" s="17">
        <f>SUM(J128:M128,O128:P128,R128:AA128)</f>
        <v>39.89</v>
      </c>
      <c r="H128" s="19" t="e">
        <f>IF(ISBLANK(B128),0,+#REF!/B128)</f>
        <v>#REF!</v>
      </c>
      <c r="I128" s="19"/>
      <c r="J128" s="82">
        <f>IF(ISBLANK(B128),0,IF(B128&gt;J$94,+J$93,+F$93))</f>
        <v>40</v>
      </c>
      <c r="K128" s="82">
        <f>IF($B128&gt;K$94,ROUND(K$94*K$93,2),ROUND($B128*K$93,2))</f>
        <v>-0.12</v>
      </c>
      <c r="L128" s="82">
        <f>IF($B128&gt;K$94,ROUND(($B128-K$94)*L$93,2),0)</f>
        <v>0</v>
      </c>
      <c r="M128" s="41"/>
      <c r="N128" s="17">
        <f>SUM(K128:L128)</f>
        <v>-0.12</v>
      </c>
      <c r="O128" s="41"/>
      <c r="P128" s="41"/>
      <c r="Q128" s="41"/>
      <c r="R128" s="41"/>
      <c r="S128" s="42">
        <f>ROUND($B128*S$93*S127,2)</f>
        <v>0</v>
      </c>
      <c r="T128" s="42">
        <f>ROUND($B128*T$93,2)</f>
        <v>0.01</v>
      </c>
      <c r="U128" s="42">
        <f>ROUND($B128*U$93,2)</f>
        <v>0</v>
      </c>
      <c r="V128" s="41">
        <f>ROUND($B128*V$87,2)</f>
        <v>0</v>
      </c>
      <c r="W128" s="42">
        <f>ROUND($B128*W$93,2)</f>
        <v>0</v>
      </c>
      <c r="X128" s="42">
        <f>ROUND($B128*X$93,2)</f>
        <v>0</v>
      </c>
      <c r="Y128" s="42">
        <f>ROUND($B128*Y$93,2)</f>
        <v>0</v>
      </c>
      <c r="Z128" s="42">
        <f>ROUND($B128*Z$93,2)</f>
        <v>0</v>
      </c>
      <c r="AA128" s="42">
        <f>ROUND($B128*AA$93,2)</f>
        <v>0</v>
      </c>
      <c r="AB128" s="19">
        <f>SUM(U$93:AA$93)+(-V$93+V98)</f>
        <v>-6.5579999999999979E-3</v>
      </c>
      <c r="AC128" s="94" t="str">
        <f>+F128</f>
        <v>SS9</v>
      </c>
    </row>
    <row r="129" spans="1:29" ht="13" x14ac:dyDescent="0.3">
      <c r="B129" s="103">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ht="13" x14ac:dyDescent="0.3">
      <c r="A130" s="96"/>
      <c r="B130" s="103">
        <f>IF(AND('AES Indiana Bill Calc.'!$D$17="SS",'AES Indiana Bill Calc.'!$D$18="Yes 50%",'AES Indiana Bill Calc.'!$D$20="Yes 2019"),'AES Indiana Bill Calc.'!$D$19,-1)</f>
        <v>-1</v>
      </c>
      <c r="C130" s="1" t="s">
        <v>149</v>
      </c>
      <c r="F130" s="36" t="s">
        <v>167</v>
      </c>
      <c r="G130" s="17">
        <f>SUM(J130:M130,O130:P130,R130:AA130)</f>
        <v>39.89</v>
      </c>
      <c r="H130" s="19" t="e">
        <f>IF(ISBLANK(B130),0,+#REF!/B130)</f>
        <v>#REF!</v>
      </c>
      <c r="I130" s="19"/>
      <c r="J130" s="82">
        <f>IF(ISBLANK(B130),0,IF(B130&gt;J$94,+J$93,+F$93))</f>
        <v>40</v>
      </c>
      <c r="K130" s="82">
        <f>IF($B130&gt;K$94,ROUND(K$94*K$93,2),ROUND($B130*K$93,2))</f>
        <v>-0.12</v>
      </c>
      <c r="L130" s="82">
        <f>IF($B130&gt;K$94,ROUND(($B130-K$94)*L$93,2),0)</f>
        <v>0</v>
      </c>
      <c r="M130" s="41"/>
      <c r="N130" s="17">
        <f>SUM(K130:L130)</f>
        <v>-0.12</v>
      </c>
      <c r="O130" s="41"/>
      <c r="P130" s="41"/>
      <c r="Q130" s="41"/>
      <c r="R130" s="41"/>
      <c r="S130" s="42">
        <f>ROUND($B130*S$93*S129,2)</f>
        <v>0</v>
      </c>
      <c r="T130" s="42">
        <f>ROUND($B130*T$93,2)</f>
        <v>0.01</v>
      </c>
      <c r="U130" s="42">
        <f>ROUND($B130*U$93,2)</f>
        <v>0</v>
      </c>
      <c r="V130" s="41">
        <f>ROUND($B130*V$87,2)</f>
        <v>0</v>
      </c>
      <c r="W130" s="42">
        <f>ROUND($B130*W$93,2)</f>
        <v>0</v>
      </c>
      <c r="X130" s="42">
        <f>ROUND($B130*X$93,2)</f>
        <v>0</v>
      </c>
      <c r="Y130" s="42">
        <f>ROUND($B130*Y$93,2)</f>
        <v>0</v>
      </c>
      <c r="Z130" s="42">
        <f>ROUND($B130*Z$93,2)</f>
        <v>0</v>
      </c>
      <c r="AA130" s="42">
        <f>ROUND($B130*AA$93,2)</f>
        <v>0</v>
      </c>
      <c r="AB130" s="19">
        <f>SUM(U$93:AA$93)+(-V$93+V100)</f>
        <v>-6.5579999999999979E-3</v>
      </c>
      <c r="AC130" s="94" t="str">
        <f>+F130</f>
        <v>SS9</v>
      </c>
    </row>
    <row r="131" spans="1:29" ht="13" x14ac:dyDescent="0.3">
      <c r="B131" s="103">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ht="13" x14ac:dyDescent="0.3">
      <c r="A132" s="96"/>
      <c r="B132" s="103">
        <f>IF(AND('AES Indiana Bill Calc.'!$D$17="SS",'AES Indiana Bill Calc.'!$D$18="Yes 25%",'AES Indiana Bill Calc.'!$D$20="Yes 2019"),'AES Indiana Bill Calc.'!$D$19,-1)</f>
        <v>-1</v>
      </c>
      <c r="C132" s="1" t="s">
        <v>150</v>
      </c>
      <c r="F132" s="36" t="s">
        <v>167</v>
      </c>
      <c r="G132" s="17">
        <f>SUM(J132:M132,O132:P132,R132:AA132)</f>
        <v>39.89</v>
      </c>
      <c r="H132" s="19" t="e">
        <f>IF(ISBLANK(B132),0,+#REF!/B132)</f>
        <v>#REF!</v>
      </c>
      <c r="I132" s="19"/>
      <c r="J132" s="82">
        <f>IF(ISBLANK(B132),0,IF(B132&gt;J$94,+J$93,+F$93))</f>
        <v>40</v>
      </c>
      <c r="K132" s="82">
        <f>IF($B132&gt;K$94,ROUND(K$94*K$93,2),ROUND($B132*K$93,2))</f>
        <v>-0.12</v>
      </c>
      <c r="L132" s="82">
        <f>IF($B132&gt;K$94,ROUND(($B132-K$94)*L$93,2),0)</f>
        <v>0</v>
      </c>
      <c r="M132" s="41"/>
      <c r="N132" s="17">
        <f>SUM(K132:L132)</f>
        <v>-0.12</v>
      </c>
      <c r="O132" s="41"/>
      <c r="P132" s="41"/>
      <c r="Q132" s="41"/>
      <c r="R132" s="41"/>
      <c r="S132" s="42">
        <f>ROUND($B132*S$93*S131,2)</f>
        <v>0</v>
      </c>
      <c r="T132" s="42">
        <f>ROUND($B132*T$93,2)</f>
        <v>0.01</v>
      </c>
      <c r="U132" s="42">
        <f>ROUND($B132*U$93,2)</f>
        <v>0</v>
      </c>
      <c r="V132" s="41">
        <f>ROUND($B132*V$87,2)</f>
        <v>0</v>
      </c>
      <c r="W132" s="42">
        <f>ROUND($B132*W$93,2)</f>
        <v>0</v>
      </c>
      <c r="X132" s="42">
        <f>ROUND($B132*X$93,2)</f>
        <v>0</v>
      </c>
      <c r="Y132" s="42">
        <f>ROUND($B132*Y$93,2)</f>
        <v>0</v>
      </c>
      <c r="Z132" s="42">
        <f>ROUND($B132*Z$93,2)</f>
        <v>0</v>
      </c>
      <c r="AA132" s="42">
        <f>ROUND($B132*AA$93,2)</f>
        <v>0</v>
      </c>
      <c r="AB132" s="19">
        <f>SUM(U$93:AA$93)+(-V$93+V102)</f>
        <v>-6.5579999999999979E-3</v>
      </c>
      <c r="AC132" s="94" t="str">
        <f>+F132</f>
        <v>SS9</v>
      </c>
    </row>
    <row r="133" spans="1:29" ht="13" x14ac:dyDescent="0.3">
      <c r="B133" s="103">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ht="13" x14ac:dyDescent="0.3">
      <c r="A134" s="96"/>
      <c r="B134" s="103">
        <f>IF(AND('AES Indiana Bill Calc.'!$D$17="SS",'AES Indiana Bill Calc.'!$D$18="Yes 10%",'AES Indiana Bill Calc.'!$D$20="Yes 2019"),'AES Indiana Bill Calc.'!$D$19,-1)</f>
        <v>-1</v>
      </c>
      <c r="C134" s="1" t="s">
        <v>164</v>
      </c>
      <c r="F134" s="36" t="s">
        <v>167</v>
      </c>
      <c r="G134" s="17">
        <f>SUM(J134:M134,O134:P134,R134:AA134)</f>
        <v>39.89</v>
      </c>
      <c r="H134" s="19" t="e">
        <f>IF(ISBLANK(B134),0,+#REF!/B134)</f>
        <v>#REF!</v>
      </c>
      <c r="I134" s="19"/>
      <c r="J134" s="82">
        <f>IF(ISBLANK(B134),0,IF(B134&gt;J$94,+J$93,+F$93))</f>
        <v>40</v>
      </c>
      <c r="K134" s="82">
        <f>IF($B134&gt;K$94,ROUND(K$94*K$93,2),ROUND($B134*K$93,2))</f>
        <v>-0.12</v>
      </c>
      <c r="L134" s="82">
        <f>IF($B134&gt;K$94,ROUND(($B134-K$94)*L$93,2),0)</f>
        <v>0</v>
      </c>
      <c r="M134" s="41"/>
      <c r="N134" s="17">
        <f>SUM(K134:L134)</f>
        <v>-0.12</v>
      </c>
      <c r="O134" s="41"/>
      <c r="P134" s="41"/>
      <c r="Q134" s="41"/>
      <c r="R134" s="41"/>
      <c r="S134" s="42">
        <f>ROUND($B134*S$93*S133,2)</f>
        <v>0</v>
      </c>
      <c r="T134" s="42">
        <f>ROUND($B134*T$93,2)</f>
        <v>0.01</v>
      </c>
      <c r="U134" s="42">
        <f>ROUND($B134*U$93,2)</f>
        <v>0</v>
      </c>
      <c r="V134" s="41">
        <f>ROUND($B134*V$87,2)</f>
        <v>0</v>
      </c>
      <c r="W134" s="42">
        <f>ROUND($B134*W$93,2)</f>
        <v>0</v>
      </c>
      <c r="X134" s="42">
        <f>ROUND($B134*X$93,2)</f>
        <v>0</v>
      </c>
      <c r="Y134" s="42">
        <f>ROUND($B134*Y$93,2)</f>
        <v>0</v>
      </c>
      <c r="Z134" s="42">
        <f>ROUND($B134*Z$93,2)</f>
        <v>0</v>
      </c>
      <c r="AA134" s="42">
        <f>ROUND($B134*AA$93,2)</f>
        <v>0</v>
      </c>
      <c r="AB134" s="19">
        <f>SUM(U$93:AA$93)+(-V$93+V104)</f>
        <v>-6.5579999999999979E-3</v>
      </c>
      <c r="AC134" s="94" t="str">
        <f>+F134</f>
        <v>SS9</v>
      </c>
    </row>
    <row r="135" spans="1:29" ht="13" x14ac:dyDescent="0.3">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ht="13" x14ac:dyDescent="0.3">
      <c r="B136" s="103">
        <f>IF(AND('AES Indiana Bill Calc.'!$D$17="SS",'AES Indiana Bill Calc.'!$D$18="No",'AES Indiana Bill Calc.'!$D$20="Yes 2019"),'AES Indiana Bill Calc.'!$D$19,-1)</f>
        <v>-1</v>
      </c>
      <c r="C136" s="1" t="s">
        <v>147</v>
      </c>
      <c r="F136" s="36" t="s">
        <v>167</v>
      </c>
      <c r="G136" s="17">
        <f>SUM(J136:M136,O136:P136,R136:AA136)</f>
        <v>39.89</v>
      </c>
      <c r="H136" s="19" t="e">
        <f>IF(ISBLANK(B136),0,+#REF!/B136)</f>
        <v>#REF!</v>
      </c>
      <c r="I136" s="19"/>
      <c r="J136" s="82">
        <f>IF(ISBLANK(B136),0,IF(B136&gt;J$94,+J$93,+F$93))</f>
        <v>40</v>
      </c>
      <c r="K136" s="82">
        <f>IF($B136&gt;K$94,ROUND(K$94*K$93,2),ROUND($B136*K$93,2))</f>
        <v>-0.12</v>
      </c>
      <c r="L136" s="82">
        <f>IF($B136&gt;K$94,ROUND(($B136-K$94)*L$93,2),0)</f>
        <v>0</v>
      </c>
      <c r="M136" s="41"/>
      <c r="N136" s="17">
        <f>SUM(K136:L136)</f>
        <v>-0.12</v>
      </c>
      <c r="O136" s="41"/>
      <c r="P136" s="41"/>
      <c r="Q136" s="41"/>
      <c r="R136" s="41"/>
      <c r="S136" s="42">
        <f>ROUND($B136*S$93*S135,2)</f>
        <v>0</v>
      </c>
      <c r="T136" s="42">
        <f>ROUND($B136*T$93,2)</f>
        <v>0.01</v>
      </c>
      <c r="U136" s="42">
        <f>ROUND($B136*U$93,2)</f>
        <v>0</v>
      </c>
      <c r="V136" s="41">
        <f>ROUND($B136*V$87,2)</f>
        <v>0</v>
      </c>
      <c r="W136" s="42">
        <f>ROUND($B136*W$93,2)</f>
        <v>0</v>
      </c>
      <c r="X136" s="42">
        <f>ROUND($B136*X$93,2)</f>
        <v>0</v>
      </c>
      <c r="Y136" s="42">
        <f>ROUND($B136*Y$93,2)</f>
        <v>0</v>
      </c>
      <c r="Z136" s="42">
        <f>ROUND($B136*Z$93,2)</f>
        <v>0</v>
      </c>
      <c r="AA136" s="42">
        <f>ROUND($B136*AA$93,2)</f>
        <v>0</v>
      </c>
      <c r="AB136" s="19">
        <f>SUM(U$93:AA$93)+(-V$93+V98)</f>
        <v>-6.5579999999999979E-3</v>
      </c>
      <c r="AC136" s="94" t="str">
        <f>+F136</f>
        <v>SS9</v>
      </c>
    </row>
    <row r="137" spans="1:29" ht="13" x14ac:dyDescent="0.3">
      <c r="B137" s="103">
        <v>-1</v>
      </c>
      <c r="C137" s="9"/>
      <c r="F137" s="36"/>
      <c r="S137" s="50">
        <v>1</v>
      </c>
    </row>
    <row r="138" spans="1:29" ht="13" x14ac:dyDescent="0.3">
      <c r="B138" s="103">
        <f>IF(AND('AES Indiana Bill Calc.'!$D$17="SS",'AES Indiana Bill Calc.'!$D$18="Yes 100%",'AES Indiana Bill Calc.'!$D$20="Yes 2020"),'AES Indiana Bill Calc.'!$D$19,-1)</f>
        <v>-1</v>
      </c>
      <c r="C138" s="1" t="s">
        <v>148</v>
      </c>
      <c r="F138" s="36" t="s">
        <v>168</v>
      </c>
      <c r="G138" s="17">
        <f>SUM(J138:M138,O138:P138,R138:AA138)</f>
        <v>39.89</v>
      </c>
      <c r="H138" s="19" t="e">
        <f>IF(ISBLANK(B138),0,+#REF!/B138)</f>
        <v>#REF!</v>
      </c>
      <c r="I138" s="19"/>
      <c r="J138" s="82">
        <f>IF(ISBLANK(B138),0,IF(B138&gt;J$94,+J$93,+F$93))</f>
        <v>40</v>
      </c>
      <c r="K138" s="82">
        <f>IF($B138&gt;K$94,ROUND(K$94*K$93,2),ROUND($B138*K$93,2))</f>
        <v>-0.12</v>
      </c>
      <c r="L138" s="82">
        <f>IF($B138&gt;K$94,ROUND(($B138-K$94)*L$93,2),0)</f>
        <v>0</v>
      </c>
      <c r="M138" s="41"/>
      <c r="N138" s="17">
        <f>SUM(K138:L138)</f>
        <v>-0.12</v>
      </c>
      <c r="O138" s="41"/>
      <c r="P138" s="41"/>
      <c r="Q138" s="41"/>
      <c r="R138" s="41"/>
      <c r="S138" s="42">
        <f>ROUND($B138*S$93*S137,2)</f>
        <v>0</v>
      </c>
      <c r="T138" s="42">
        <f>ROUND($B138*T$93,2)</f>
        <v>0.01</v>
      </c>
      <c r="U138" s="42">
        <f>ROUND($B138*U$93,2)</f>
        <v>0</v>
      </c>
      <c r="V138" s="41">
        <f>ROUND($B138*V$88,2)</f>
        <v>0</v>
      </c>
      <c r="W138" s="42">
        <f>ROUND($B138*W$93,2)</f>
        <v>0</v>
      </c>
      <c r="X138" s="42">
        <f>ROUND($B138*X$93,2)</f>
        <v>0</v>
      </c>
      <c r="Y138" s="42">
        <f>ROUND($B138*Y$93,2)</f>
        <v>0</v>
      </c>
      <c r="Z138" s="42">
        <f>ROUND($B138*Z$93,2)</f>
        <v>0</v>
      </c>
      <c r="AA138" s="42">
        <f>ROUND($B138*AA$93,2)</f>
        <v>0</v>
      </c>
      <c r="AB138" s="19">
        <f>SUM(U$93:AA$93)+(-V$93+V98)</f>
        <v>-6.5579999999999979E-3</v>
      </c>
      <c r="AC138" s="94" t="str">
        <f>+F138</f>
        <v>SS0</v>
      </c>
    </row>
    <row r="139" spans="1:29" ht="13" x14ac:dyDescent="0.3">
      <c r="B139" s="103">
        <v>-1</v>
      </c>
      <c r="C139" s="9"/>
      <c r="F139" s="36"/>
      <c r="S139" s="50">
        <v>0.5</v>
      </c>
    </row>
    <row r="140" spans="1:29" ht="13" x14ac:dyDescent="0.3">
      <c r="B140" s="103">
        <f>IF(AND('AES Indiana Bill Calc.'!$D$17="SS",'AES Indiana Bill Calc.'!$D$18="Yes 50%",'AES Indiana Bill Calc.'!$D$20="Yes 2020"),'AES Indiana Bill Calc.'!$D$19,-1)</f>
        <v>-1</v>
      </c>
      <c r="C140" s="1" t="s">
        <v>149</v>
      </c>
      <c r="F140" s="36" t="s">
        <v>168</v>
      </c>
      <c r="G140" s="17">
        <f>SUM(J140:M140,O140:P140,R140:AA140)</f>
        <v>39.89</v>
      </c>
      <c r="H140" s="19" t="e">
        <f>IF(ISBLANK(B140),0,+#REF!/B140)</f>
        <v>#REF!</v>
      </c>
      <c r="I140" s="19"/>
      <c r="J140" s="82">
        <f>IF(ISBLANK(B140),0,IF(B140&gt;J$94,+J$93,+F$93))</f>
        <v>40</v>
      </c>
      <c r="K140" s="82">
        <f>IF($B140&gt;K$94,ROUND(K$94*K$93,2),ROUND($B140*K$93,2))</f>
        <v>-0.12</v>
      </c>
      <c r="L140" s="82">
        <f>IF($B140&gt;K$94,ROUND(($B140-K$94)*L$93,2),0)</f>
        <v>0</v>
      </c>
      <c r="M140" s="41"/>
      <c r="N140" s="17">
        <f>SUM(K140:L140)</f>
        <v>-0.12</v>
      </c>
      <c r="O140" s="41"/>
      <c r="P140" s="41"/>
      <c r="Q140" s="41"/>
      <c r="R140" s="41"/>
      <c r="S140" s="42">
        <f>ROUND($B140*S$93*S139,2)</f>
        <v>0</v>
      </c>
      <c r="T140" s="42">
        <f>ROUND($B140*T$93,2)</f>
        <v>0.01</v>
      </c>
      <c r="U140" s="42">
        <f>ROUND($B140*U$93,2)</f>
        <v>0</v>
      </c>
      <c r="V140" s="41">
        <f>ROUND($B140*V$88,2)</f>
        <v>0</v>
      </c>
      <c r="W140" s="42">
        <f>ROUND($B140*W$93,2)</f>
        <v>0</v>
      </c>
      <c r="X140" s="42">
        <f>ROUND($B140*X$93,2)</f>
        <v>0</v>
      </c>
      <c r="Y140" s="42">
        <f>ROUND($B140*Y$93,2)</f>
        <v>0</v>
      </c>
      <c r="Z140" s="42">
        <f>ROUND($B140*Z$93,2)</f>
        <v>0</v>
      </c>
      <c r="AA140" s="42">
        <f>ROUND($B140*AA$93,2)</f>
        <v>0</v>
      </c>
      <c r="AB140" s="19">
        <f>SUM(U$93:AA$93)+(-V$93+V100)</f>
        <v>-6.5579999999999979E-3</v>
      </c>
      <c r="AC140" s="94" t="str">
        <f>+F140</f>
        <v>SS0</v>
      </c>
    </row>
    <row r="141" spans="1:29" ht="13" x14ac:dyDescent="0.3">
      <c r="B141" s="103">
        <v>-1</v>
      </c>
      <c r="C141" s="9"/>
      <c r="F141" s="36"/>
      <c r="S141" s="50">
        <v>0.25</v>
      </c>
    </row>
    <row r="142" spans="1:29" ht="13" x14ac:dyDescent="0.3">
      <c r="B142" s="103">
        <f>IF(AND('AES Indiana Bill Calc.'!$D$17="SS",'AES Indiana Bill Calc.'!$D$18="Yes 25%",'AES Indiana Bill Calc.'!$D$20="Yes 2020"),'AES Indiana Bill Calc.'!$D$19,-1)</f>
        <v>-1</v>
      </c>
      <c r="C142" s="1" t="s">
        <v>150</v>
      </c>
      <c r="F142" s="36" t="s">
        <v>168</v>
      </c>
      <c r="G142" s="17">
        <f>SUM(J142:M142,O142:P142,R142:AA142)</f>
        <v>39.89</v>
      </c>
      <c r="H142" s="19" t="e">
        <f>IF(ISBLANK(B142),0,+#REF!/B142)</f>
        <v>#REF!</v>
      </c>
      <c r="I142" s="19"/>
      <c r="J142" s="82">
        <f>IF(ISBLANK(B142),0,IF(B142&gt;J$94,+J$93,+F$93))</f>
        <v>40</v>
      </c>
      <c r="K142" s="82">
        <f>IF($B142&gt;K$94,ROUND(K$94*K$93,2),ROUND($B142*K$93,2))</f>
        <v>-0.12</v>
      </c>
      <c r="L142" s="82">
        <f>IF($B142&gt;K$94,ROUND(($B142-K$94)*L$93,2),0)</f>
        <v>0</v>
      </c>
      <c r="M142" s="41"/>
      <c r="N142" s="17">
        <f>SUM(K142:L142)</f>
        <v>-0.12</v>
      </c>
      <c r="O142" s="41"/>
      <c r="P142" s="41"/>
      <c r="Q142" s="41"/>
      <c r="R142" s="41"/>
      <c r="S142" s="42">
        <f>ROUND($B142*S$93*S141,2)</f>
        <v>0</v>
      </c>
      <c r="T142" s="42">
        <f>ROUND($B142*T$93,2)</f>
        <v>0.01</v>
      </c>
      <c r="U142" s="42">
        <f>ROUND($B142*U$93,2)</f>
        <v>0</v>
      </c>
      <c r="V142" s="41">
        <f>ROUND($B142*V$88,2)</f>
        <v>0</v>
      </c>
      <c r="W142" s="42">
        <f>ROUND($B142*W$93,2)</f>
        <v>0</v>
      </c>
      <c r="X142" s="42">
        <f>ROUND($B142*X$93,2)</f>
        <v>0</v>
      </c>
      <c r="Y142" s="42">
        <f>ROUND($B142*Y$93,2)</f>
        <v>0</v>
      </c>
      <c r="Z142" s="42">
        <f>ROUND($B142*Z$93,2)</f>
        <v>0</v>
      </c>
      <c r="AA142" s="42">
        <f>ROUND($B142*AA$93,2)</f>
        <v>0</v>
      </c>
      <c r="AB142" s="19">
        <f>SUM(U$93:AA$93)+(-V$93+V102)</f>
        <v>-6.5579999999999979E-3</v>
      </c>
      <c r="AC142" s="94" t="str">
        <f>+F142</f>
        <v>SS0</v>
      </c>
    </row>
    <row r="143" spans="1:29" ht="13" x14ac:dyDescent="0.3">
      <c r="B143" s="103">
        <v>-1</v>
      </c>
      <c r="C143" s="9"/>
      <c r="F143" s="36"/>
      <c r="S143" s="50">
        <v>0.1</v>
      </c>
    </row>
    <row r="144" spans="1:29" ht="13" x14ac:dyDescent="0.3">
      <c r="B144" s="103">
        <f>IF(AND('AES Indiana Bill Calc.'!$D$17="SS",'AES Indiana Bill Calc.'!$D$18="Yes 10%",'AES Indiana Bill Calc.'!$D$20="Yes 2020"),'AES Indiana Bill Calc.'!$D$19,-1)</f>
        <v>-1</v>
      </c>
      <c r="C144" s="1" t="s">
        <v>164</v>
      </c>
      <c r="F144" s="36" t="s">
        <v>168</v>
      </c>
      <c r="G144" s="17">
        <f>SUM(J144:M144,O144:P144,R144:AA144)</f>
        <v>39.89</v>
      </c>
      <c r="H144" s="19" t="e">
        <f>IF(ISBLANK(B144),0,+#REF!/B144)</f>
        <v>#REF!</v>
      </c>
      <c r="I144" s="19"/>
      <c r="J144" s="82">
        <f>IF(ISBLANK(B144),0,IF(B144&gt;J$94,+J$93,+F$93))</f>
        <v>40</v>
      </c>
      <c r="K144" s="82">
        <f>IF($B144&gt;K$94,ROUND(K$94*K$93,2),ROUND($B144*K$93,2))</f>
        <v>-0.12</v>
      </c>
      <c r="L144" s="82">
        <f>IF($B144&gt;K$94,ROUND(($B144-K$94)*L$93,2),0)</f>
        <v>0</v>
      </c>
      <c r="M144" s="41"/>
      <c r="N144" s="17">
        <f>SUM(K144:L144)</f>
        <v>-0.12</v>
      </c>
      <c r="O144" s="41"/>
      <c r="P144" s="41"/>
      <c r="Q144" s="41"/>
      <c r="R144" s="41"/>
      <c r="S144" s="42">
        <f>ROUND($B144*S$93*S143,2)</f>
        <v>0</v>
      </c>
      <c r="T144" s="42">
        <f>ROUND($B144*T$93,2)</f>
        <v>0.01</v>
      </c>
      <c r="U144" s="42">
        <f>ROUND($B144*U$93,2)</f>
        <v>0</v>
      </c>
      <c r="V144" s="41">
        <f>ROUND($B144*V$88,2)</f>
        <v>0</v>
      </c>
      <c r="W144" s="42">
        <f>ROUND($B144*W$93,2)</f>
        <v>0</v>
      </c>
      <c r="X144" s="42">
        <f>ROUND($B144*X$93,2)</f>
        <v>0</v>
      </c>
      <c r="Y144" s="42">
        <f>ROUND($B144*Y$93,2)</f>
        <v>0</v>
      </c>
      <c r="Z144" s="42">
        <f>ROUND($B144*Z$93,2)</f>
        <v>0</v>
      </c>
      <c r="AA144" s="42">
        <f>ROUND($B144*AA$93,2)</f>
        <v>0</v>
      </c>
      <c r="AB144" s="19">
        <f>SUM(U$93:AA$93)+(-V$93+V104)</f>
        <v>-6.5579999999999979E-3</v>
      </c>
      <c r="AC144" s="94" t="str">
        <f>+F144</f>
        <v>SS0</v>
      </c>
    </row>
    <row r="145" spans="2:123" ht="13" x14ac:dyDescent="0.3">
      <c r="B145" s="103">
        <v>-1</v>
      </c>
      <c r="F145" s="36"/>
      <c r="S145" s="50">
        <v>0</v>
      </c>
    </row>
    <row r="146" spans="2:123" ht="13" x14ac:dyDescent="0.3">
      <c r="B146" s="103">
        <f>IF(AND('AES Indiana Bill Calc.'!$D$17="SS",'AES Indiana Bill Calc.'!$D$18="No",'AES Indiana Bill Calc.'!$D$20="Yes 2020"),'AES Indiana Bill Calc.'!$D$19,-1)</f>
        <v>-1</v>
      </c>
      <c r="C146" s="1" t="s">
        <v>147</v>
      </c>
      <c r="F146" s="36" t="s">
        <v>168</v>
      </c>
      <c r="G146" s="17">
        <f>SUM(J146:M146,O146:P146,R146:AA146)</f>
        <v>39.89</v>
      </c>
      <c r="H146" s="19" t="e">
        <f>IF(ISBLANK(B146),0,+#REF!/B146)</f>
        <v>#REF!</v>
      </c>
      <c r="I146" s="19"/>
      <c r="J146" s="82">
        <f>IF(ISBLANK(B146),0,IF(B146&gt;J$94,+J$93,+F$93))</f>
        <v>40</v>
      </c>
      <c r="K146" s="82">
        <f>IF($B146&gt;K$94,ROUND(K$94*K$93,2),ROUND($B146*K$93,2))</f>
        <v>-0.12</v>
      </c>
      <c r="L146" s="82">
        <f>IF($B146&gt;K$94,ROUND(($B146-K$94)*L$93,2),0)</f>
        <v>0</v>
      </c>
      <c r="M146" s="41"/>
      <c r="N146" s="17">
        <f>SUM(K146:L146)</f>
        <v>-0.12</v>
      </c>
      <c r="O146" s="41"/>
      <c r="P146" s="41"/>
      <c r="Q146" s="41"/>
      <c r="R146" s="41"/>
      <c r="S146" s="42">
        <f>ROUND($B146*S$93*S145,2)</f>
        <v>0</v>
      </c>
      <c r="T146" s="42">
        <f>ROUND($B146*T$93,2)</f>
        <v>0.01</v>
      </c>
      <c r="U146" s="42">
        <f>ROUND($B146*U$93,2)</f>
        <v>0</v>
      </c>
      <c r="V146" s="41">
        <f>ROUND($B146*V$88,2)</f>
        <v>0</v>
      </c>
      <c r="W146" s="42">
        <f>ROUND($B146*W$93,2)</f>
        <v>0</v>
      </c>
      <c r="X146" s="42">
        <f>ROUND($B146*X$93,2)</f>
        <v>0</v>
      </c>
      <c r="Y146" s="42">
        <f>ROUND($B146*Y$93,2)</f>
        <v>0</v>
      </c>
      <c r="Z146" s="42">
        <f>ROUND($B146*Z$93,2)</f>
        <v>0</v>
      </c>
      <c r="AA146" s="42">
        <f>ROUND($B146*AA$93,2)</f>
        <v>0</v>
      </c>
      <c r="AB146" s="19">
        <f>SUM(U$93:AA$93)+(-V$93+V106)</f>
        <v>-6.5579999999999979E-3</v>
      </c>
      <c r="AC146" s="94" t="str">
        <f>+F146</f>
        <v>SS0</v>
      </c>
    </row>
    <row r="147" spans="2:123" ht="13" x14ac:dyDescent="0.3">
      <c r="B147" s="97">
        <v>-1</v>
      </c>
      <c r="C147" s="80"/>
      <c r="F147" s="36"/>
      <c r="G147" s="42"/>
      <c r="H147" s="19"/>
      <c r="I147" s="19"/>
      <c r="J147" s="82"/>
      <c r="K147" s="82"/>
      <c r="L147" s="82"/>
      <c r="M147" s="41"/>
      <c r="N147" s="41"/>
      <c r="O147" s="41"/>
      <c r="P147" s="41"/>
      <c r="Q147" s="41"/>
      <c r="R147" s="41"/>
      <c r="S147" s="50">
        <v>1</v>
      </c>
      <c r="T147" s="42"/>
      <c r="U147" s="42"/>
      <c r="V147" s="41"/>
      <c r="W147" s="42"/>
      <c r="X147" s="42"/>
      <c r="Y147" s="42"/>
      <c r="Z147" s="42"/>
      <c r="AA147" s="42"/>
      <c r="AB147" s="19"/>
      <c r="AC147" s="94"/>
    </row>
    <row r="148" spans="2:123" ht="13" x14ac:dyDescent="0.3">
      <c r="B148" s="103">
        <f>IF(AND('AES Indiana Bill Calc.'!$D$17="SS",'AES Indiana Bill Calc.'!$D$18="Yes 100%",'AES Indiana Bill Calc.'!$D$20="Yes 2021"),'AES Indiana Bill Calc.'!$D$19,-1)</f>
        <v>-1</v>
      </c>
      <c r="C148" s="1" t="s">
        <v>148</v>
      </c>
      <c r="D148" s="148"/>
      <c r="F148" s="36" t="s">
        <v>169</v>
      </c>
      <c r="G148" s="42">
        <f>SUM(J148:M148,O148:P148,R148:AA148)</f>
        <v>39.89</v>
      </c>
      <c r="H148" s="19" t="e">
        <f>IF(ISBLANK(B148),0,+#REF!/B148)</f>
        <v>#REF!</v>
      </c>
      <c r="I148" s="148"/>
      <c r="J148" s="82">
        <f>IF(ISBLANK(B148),0,IF(B148&gt;J$94,+J$93,+F$93))</f>
        <v>40</v>
      </c>
      <c r="K148" s="82">
        <f>IF($B148&gt;K$94,ROUND(K$94*K$93,2),ROUND($B148*K$93,2))</f>
        <v>-0.12</v>
      </c>
      <c r="L148" s="82">
        <f>IF($B148&gt;K$94,ROUND(($B148-K$94)*L$93,2),0)</f>
        <v>0</v>
      </c>
      <c r="M148" s="148"/>
      <c r="N148" s="42">
        <f>SUM(K148:L148)</f>
        <v>-0.12</v>
      </c>
      <c r="O148" s="148"/>
      <c r="P148" s="148"/>
      <c r="Q148" s="148"/>
      <c r="S148" s="42">
        <f>ROUND($B148*S$93*S147,2)</f>
        <v>0</v>
      </c>
      <c r="T148" s="42">
        <f>ROUND($B148*T$93,2)</f>
        <v>0.01</v>
      </c>
      <c r="U148" s="42">
        <f>ROUND($B148*U$93,2)</f>
        <v>0</v>
      </c>
      <c r="V148" s="41">
        <f>ROUND($B148*V$89,2)</f>
        <v>0</v>
      </c>
      <c r="W148" s="148"/>
      <c r="X148" s="42">
        <f>ROUND($B148*X$93,2)</f>
        <v>0</v>
      </c>
      <c r="Y148" s="42">
        <f>ROUND($B148*Y$93,2)</f>
        <v>0</v>
      </c>
      <c r="Z148" s="42">
        <f>ROUND($B148*Z$93,2)</f>
        <v>0</v>
      </c>
      <c r="AA148" s="42">
        <f>ROUND($B148*AA$93,2)</f>
        <v>0</v>
      </c>
      <c r="AB148" s="19">
        <f>SUM(U$93:AA$93)+(-V$93+V110)</f>
        <v>3.4420000000000006E-3</v>
      </c>
      <c r="AC148" s="148"/>
    </row>
    <row r="149" spans="2:123" ht="13" x14ac:dyDescent="0.3">
      <c r="B149" s="97">
        <v>-1</v>
      </c>
      <c r="C149" s="9"/>
      <c r="F149" s="36"/>
      <c r="G149" s="42"/>
      <c r="H149" s="19"/>
      <c r="I149" s="19"/>
      <c r="J149" s="82"/>
      <c r="K149" s="82"/>
      <c r="L149" s="82"/>
      <c r="M149" s="41"/>
      <c r="N149" s="41"/>
      <c r="O149" s="41"/>
      <c r="P149" s="41"/>
      <c r="Q149" s="41"/>
      <c r="R149" s="41"/>
      <c r="S149" s="50">
        <v>0.5</v>
      </c>
      <c r="T149" s="42"/>
      <c r="U149" s="42"/>
      <c r="V149" s="41"/>
      <c r="W149" s="42"/>
      <c r="X149" s="42"/>
      <c r="Y149" s="42"/>
      <c r="Z149" s="42"/>
      <c r="AA149" s="42"/>
      <c r="AB149" s="19"/>
      <c r="AC149" s="94"/>
    </row>
    <row r="150" spans="2:123" ht="13" x14ac:dyDescent="0.3">
      <c r="B150" s="103">
        <f>IF(AND('AES Indiana Bill Calc.'!$D$17="SS",'AES Indiana Bill Calc.'!$D$18="Yes 50%",'AES Indiana Bill Calc.'!$D$20="Yes 2021"),'AES Indiana Bill Calc.'!$D$19,-1)</f>
        <v>-1</v>
      </c>
      <c r="C150" s="1" t="s">
        <v>149</v>
      </c>
      <c r="D150" s="148"/>
      <c r="F150" s="36" t="s">
        <v>169</v>
      </c>
      <c r="G150" s="42">
        <f>SUM(J150:M150,O150:P150,R150:AA150)</f>
        <v>39.89</v>
      </c>
      <c r="H150" s="19" t="e">
        <f>IF(ISBLANK(B150),0,+#REF!/B150)</f>
        <v>#REF!</v>
      </c>
      <c r="I150" s="148"/>
      <c r="J150" s="82">
        <f>IF(ISBLANK(B150),0,IF(B150&gt;J$94,+J$93,+F$93))</f>
        <v>40</v>
      </c>
      <c r="K150" s="82">
        <f>IF($B150&gt;K$94,ROUND(K$94*K$93,2),ROUND($B150*K$93,2))</f>
        <v>-0.12</v>
      </c>
      <c r="L150" s="82">
        <f>IF($B150&gt;K$94,ROUND(($B150-K$94)*L$93,2),0)</f>
        <v>0</v>
      </c>
      <c r="M150" s="148"/>
      <c r="N150" s="42">
        <f>SUM(K150:L150)</f>
        <v>-0.12</v>
      </c>
      <c r="O150" s="148"/>
      <c r="P150" s="148"/>
      <c r="Q150" s="148"/>
      <c r="S150" s="42">
        <f>ROUND($B150*S$93*S149,2)</f>
        <v>0</v>
      </c>
      <c r="T150" s="42">
        <f>ROUND($B150*T$93,2)</f>
        <v>0.01</v>
      </c>
      <c r="U150" s="42">
        <f>ROUND($B150*U$93,2)</f>
        <v>0</v>
      </c>
      <c r="V150" s="41">
        <f>ROUND($B150*V$89,2)</f>
        <v>0</v>
      </c>
      <c r="W150" s="148"/>
      <c r="X150" s="42">
        <f>ROUND($B150*X$93,2)</f>
        <v>0</v>
      </c>
      <c r="Y150" s="42">
        <f>ROUND($B150*Y$93,2)</f>
        <v>0</v>
      </c>
      <c r="Z150" s="42">
        <f>ROUND($B150*Z$93,2)</f>
        <v>0</v>
      </c>
      <c r="AA150" s="42">
        <f>ROUND($B150*AA$93,2)</f>
        <v>0</v>
      </c>
      <c r="AB150" s="19">
        <f>SUM(U$93:AA$93)+(-V$93+V112)</f>
        <v>3.4420000000000006E-3</v>
      </c>
      <c r="AC150" s="148"/>
    </row>
    <row r="151" spans="2:123" ht="13" x14ac:dyDescent="0.3">
      <c r="B151" s="97">
        <v>-1</v>
      </c>
      <c r="C151" s="9"/>
      <c r="F151" s="36"/>
      <c r="G151" s="42"/>
      <c r="H151" s="19"/>
      <c r="I151" s="19"/>
      <c r="J151" s="82"/>
      <c r="K151" s="82"/>
      <c r="L151" s="82"/>
      <c r="M151" s="41"/>
      <c r="N151" s="41"/>
      <c r="O151" s="41"/>
      <c r="P151" s="41"/>
      <c r="Q151" s="41"/>
      <c r="R151" s="41"/>
      <c r="S151" s="50">
        <v>0.25</v>
      </c>
      <c r="T151" s="42"/>
      <c r="U151" s="42"/>
      <c r="V151" s="41"/>
      <c r="W151" s="42"/>
      <c r="X151" s="42"/>
      <c r="Y151" s="42"/>
      <c r="Z151" s="42"/>
      <c r="AA151" s="42"/>
      <c r="AB151" s="19"/>
      <c r="AC151" s="94"/>
    </row>
    <row r="152" spans="2:123" ht="13" x14ac:dyDescent="0.3">
      <c r="B152" s="103">
        <f>IF(AND('AES Indiana Bill Calc.'!$D$17="SS",'AES Indiana Bill Calc.'!$D$18="Yes 25%",'AES Indiana Bill Calc.'!$D$20="Yes 2021"),'AES Indiana Bill Calc.'!$D$19,-1)</f>
        <v>-1</v>
      </c>
      <c r="C152" s="1" t="s">
        <v>150</v>
      </c>
      <c r="D152" s="148"/>
      <c r="F152" s="36" t="s">
        <v>169</v>
      </c>
      <c r="G152" s="42">
        <f>SUM(J152:M152,O152:P152,R152:AA152)</f>
        <v>39.89</v>
      </c>
      <c r="H152" s="19" t="e">
        <f>IF(ISBLANK(B152),0,+#REF!/B152)</f>
        <v>#REF!</v>
      </c>
      <c r="I152" s="148"/>
      <c r="J152" s="82">
        <f>IF(ISBLANK(B152),0,IF(B152&gt;J$94,+J$93,+F$93))</f>
        <v>40</v>
      </c>
      <c r="K152" s="82">
        <f>IF($B152&gt;K$94,ROUND(K$94*K$93,2),ROUND($B152*K$93,2))</f>
        <v>-0.12</v>
      </c>
      <c r="L152" s="82">
        <f>IF($B152&gt;K$94,ROUND(($B152-K$94)*L$93,2),0)</f>
        <v>0</v>
      </c>
      <c r="M152" s="148"/>
      <c r="N152" s="42">
        <f>SUM(K152:L152)</f>
        <v>-0.12</v>
      </c>
      <c r="O152" s="148"/>
      <c r="P152" s="148"/>
      <c r="Q152" s="148"/>
      <c r="S152" s="42">
        <f>ROUND($B152*S$93*S151,2)</f>
        <v>0</v>
      </c>
      <c r="T152" s="42">
        <f>ROUND($B152*T$93,2)</f>
        <v>0.01</v>
      </c>
      <c r="U152" s="42">
        <f>ROUND($B152*U$93,2)</f>
        <v>0</v>
      </c>
      <c r="V152" s="41">
        <f>ROUND($B152*V$89,2)</f>
        <v>0</v>
      </c>
      <c r="W152" s="148"/>
      <c r="X152" s="42">
        <f>ROUND($B152*X$93,2)</f>
        <v>0</v>
      </c>
      <c r="Y152" s="42">
        <f>ROUND($B152*Y$93,2)</f>
        <v>0</v>
      </c>
      <c r="Z152" s="42">
        <f>ROUND($B152*Z$93,2)</f>
        <v>0</v>
      </c>
      <c r="AA152" s="42">
        <f>ROUND($B152*AA$93,2)</f>
        <v>0</v>
      </c>
      <c r="AB152" s="19">
        <f>SUM(U$93:AA$93)+(-V$93+V114)</f>
        <v>3.4420000000000006E-3</v>
      </c>
      <c r="AC152" s="148"/>
    </row>
    <row r="153" spans="2:123" ht="13" x14ac:dyDescent="0.3">
      <c r="B153" s="97">
        <v>-1</v>
      </c>
      <c r="C153" s="9"/>
      <c r="F153" s="36"/>
      <c r="G153" s="42"/>
      <c r="H153" s="19"/>
      <c r="I153" s="19"/>
      <c r="J153" s="82"/>
      <c r="K153" s="82"/>
      <c r="L153" s="82"/>
      <c r="M153" s="41"/>
      <c r="N153" s="41"/>
      <c r="O153" s="41"/>
      <c r="P153" s="41"/>
      <c r="Q153" s="41"/>
      <c r="R153" s="41"/>
      <c r="S153" s="50">
        <v>0.1</v>
      </c>
      <c r="T153" s="42"/>
      <c r="U153" s="42"/>
      <c r="V153" s="41"/>
      <c r="W153" s="42"/>
      <c r="X153" s="42"/>
      <c r="Y153" s="42"/>
      <c r="Z153" s="42"/>
      <c r="AA153" s="42"/>
      <c r="AB153" s="19"/>
      <c r="AC153" s="94"/>
    </row>
    <row r="154" spans="2:123" ht="13" x14ac:dyDescent="0.3">
      <c r="B154" s="103">
        <f>IF(AND('AES Indiana Bill Calc.'!$D$17="SS",'AES Indiana Bill Calc.'!$D$18="Yes 10%",'AES Indiana Bill Calc.'!$D$20="Yes 2021"),'AES Indiana Bill Calc.'!$D$19,-1)</f>
        <v>-1</v>
      </c>
      <c r="C154" s="1" t="s">
        <v>164</v>
      </c>
      <c r="D154" s="148"/>
      <c r="F154" s="36" t="s">
        <v>169</v>
      </c>
      <c r="G154" s="42">
        <f>SUM(J154:M154,O154:P154,R154:AA154)</f>
        <v>39.89</v>
      </c>
      <c r="H154" s="19" t="e">
        <f>IF(ISBLANK(B154),0,+#REF!/B154)</f>
        <v>#REF!</v>
      </c>
      <c r="I154" s="148"/>
      <c r="J154" s="82">
        <f>IF(ISBLANK(B154),0,IF(B154&gt;J$94,+J$93,+F$93))</f>
        <v>40</v>
      </c>
      <c r="K154" s="82">
        <f>IF($B154&gt;K$94,ROUND(K$94*K$93,2),ROUND($B154*K$93,2))</f>
        <v>-0.12</v>
      </c>
      <c r="L154" s="82">
        <f>IF($B154&gt;K$94,ROUND(($B154-K$94)*L$93,2),0)</f>
        <v>0</v>
      </c>
      <c r="M154" s="148"/>
      <c r="N154" s="42">
        <f>SUM(K154:L154)</f>
        <v>-0.12</v>
      </c>
      <c r="O154" s="148"/>
      <c r="P154" s="148"/>
      <c r="Q154" s="148"/>
      <c r="S154" s="42">
        <f>ROUND($B154*S$93*S153,2)</f>
        <v>0</v>
      </c>
      <c r="T154" s="42">
        <f>ROUND($B154*T$93,2)</f>
        <v>0.01</v>
      </c>
      <c r="U154" s="42">
        <f>ROUND($B154*U$93,2)</f>
        <v>0</v>
      </c>
      <c r="V154" s="41">
        <f>ROUND($B154*V$89,2)</f>
        <v>0</v>
      </c>
      <c r="W154" s="148"/>
      <c r="X154" s="42">
        <f>ROUND($B154*X$93,2)</f>
        <v>0</v>
      </c>
      <c r="Y154" s="42">
        <f>ROUND($B154*Y$93,2)</f>
        <v>0</v>
      </c>
      <c r="Z154" s="42">
        <f>ROUND($B154*Z$93,2)</f>
        <v>0</v>
      </c>
      <c r="AA154" s="42">
        <f>ROUND($B154*AA$93,2)</f>
        <v>0</v>
      </c>
      <c r="AB154" s="19">
        <f>SUM(U$93:AA$93)+(-V$93+V116)</f>
        <v>3.4420000000000006E-3</v>
      </c>
      <c r="AC154" s="148"/>
    </row>
    <row r="155" spans="2:123" ht="13" x14ac:dyDescent="0.3">
      <c r="B155" s="97">
        <v>-1</v>
      </c>
      <c r="F155" s="36"/>
      <c r="G155" s="42"/>
      <c r="H155" s="19"/>
      <c r="I155" s="19"/>
      <c r="J155" s="82"/>
      <c r="K155" s="82"/>
      <c r="L155" s="82"/>
      <c r="M155" s="41"/>
      <c r="N155" s="41"/>
      <c r="O155" s="41"/>
      <c r="P155" s="41"/>
      <c r="Q155" s="41"/>
      <c r="R155" s="41"/>
      <c r="S155" s="50">
        <v>0</v>
      </c>
      <c r="T155" s="42"/>
      <c r="U155" s="42"/>
      <c r="V155" s="41"/>
      <c r="W155" s="42"/>
      <c r="X155" s="42"/>
      <c r="Y155" s="42"/>
      <c r="Z155" s="42"/>
      <c r="AA155" s="42"/>
      <c r="AB155" s="19"/>
      <c r="AC155" s="94"/>
    </row>
    <row r="156" spans="2:123" ht="13.5" thickBot="1" x14ac:dyDescent="0.35">
      <c r="B156" s="97">
        <f>IF(AND('AES Indiana Bill Calc.'!$D$17="SS",'AES Indiana Bill Calc.'!$D$18="No",'AES Indiana Bill Calc.'!$D$20="Yes 2021"),'AES Indiana Bill Calc.'!$D$19,-1)</f>
        <v>-1</v>
      </c>
      <c r="C156" s="149" t="s">
        <v>147</v>
      </c>
      <c r="D156" s="148"/>
      <c r="F156" s="36" t="s">
        <v>169</v>
      </c>
      <c r="G156" s="42">
        <f>SUM(J156:M156,O156:P156,R156:AA156)</f>
        <v>39.89</v>
      </c>
      <c r="H156" s="19" t="e">
        <f>IF(ISBLANK(B156),0,+#REF!/B156)</f>
        <v>#REF!</v>
      </c>
      <c r="I156" s="148"/>
      <c r="J156" s="82">
        <f>IF(ISBLANK(B156),0,IF(B156&gt;J$94,+J$93,+F$93))</f>
        <v>40</v>
      </c>
      <c r="K156" s="82">
        <f>IF($B156&gt;K$94,ROUND(K$94*K$93,2),ROUND($B156*K$93,2))</f>
        <v>-0.12</v>
      </c>
      <c r="L156" s="82">
        <f>IF($B156&gt;K$94,ROUND(($B156-K$94)*L$93,2),0)</f>
        <v>0</v>
      </c>
      <c r="M156" s="148"/>
      <c r="N156" s="42">
        <f>SUM(K156:L156)</f>
        <v>-0.12</v>
      </c>
      <c r="O156" s="148"/>
      <c r="P156" s="148"/>
      <c r="Q156" s="148"/>
      <c r="S156" s="42">
        <f>ROUND($B156*S$93*S155,2)</f>
        <v>0</v>
      </c>
      <c r="T156" s="42">
        <f>ROUND($B156*T$93,2)</f>
        <v>0.01</v>
      </c>
      <c r="U156" s="42">
        <f>ROUND($B156*U$93,2)</f>
        <v>0</v>
      </c>
      <c r="V156" s="41">
        <f>ROUND($B156*V$89,2)</f>
        <v>0</v>
      </c>
      <c r="W156" s="148"/>
      <c r="X156" s="42">
        <f>ROUND($B156*X$93,2)</f>
        <v>0</v>
      </c>
      <c r="Y156" s="42">
        <f>ROUND($B156*Y$93,2)</f>
        <v>0</v>
      </c>
      <c r="Z156" s="42">
        <f>ROUND($B156*Z$93,2)</f>
        <v>0</v>
      </c>
      <c r="AA156" s="42">
        <f>ROUND($B156*AA$93,2)</f>
        <v>0</v>
      </c>
      <c r="AB156" s="19">
        <f>SUM(U$93:AA$93)+(-V$93+V118)</f>
        <v>3.4420000000000006E-3</v>
      </c>
      <c r="AC156" s="148"/>
      <c r="AE156" s="148"/>
      <c r="AG156" s="148"/>
      <c r="AI156" s="148"/>
      <c r="AK156" s="148"/>
      <c r="AM156" s="148"/>
      <c r="AO156" s="148"/>
      <c r="AQ156" s="148"/>
      <c r="AS156" s="148"/>
      <c r="AU156" s="148"/>
      <c r="AW156" s="148"/>
      <c r="AY156" s="148"/>
      <c r="BA156" s="148"/>
      <c r="BC156" s="148"/>
      <c r="BE156" s="148"/>
      <c r="BG156" s="148"/>
      <c r="BI156" s="125"/>
      <c r="BJ156" s="21"/>
      <c r="BK156" s="125"/>
      <c r="BL156" s="21"/>
      <c r="BM156" s="125"/>
      <c r="BN156" s="21"/>
      <c r="BO156" s="125"/>
      <c r="BP156" s="21"/>
      <c r="BQ156" s="125"/>
      <c r="BR156" s="21"/>
      <c r="BS156" s="125"/>
      <c r="BT156" s="21"/>
      <c r="BU156" s="125"/>
      <c r="BV156" s="21"/>
      <c r="BW156" s="125"/>
      <c r="BX156" s="21"/>
      <c r="BY156" s="125"/>
      <c r="BZ156" s="21"/>
      <c r="CA156" s="125"/>
      <c r="CB156" s="21"/>
      <c r="CC156" s="125"/>
      <c r="CD156" s="21"/>
      <c r="CE156" s="125"/>
      <c r="CF156" s="21"/>
      <c r="CG156" s="125"/>
      <c r="CH156" s="21"/>
      <c r="CI156" s="125"/>
      <c r="CJ156" s="21"/>
      <c r="CK156" s="125"/>
      <c r="CL156" s="21"/>
      <c r="CM156" s="125"/>
      <c r="CN156" s="21"/>
      <c r="CO156" s="125"/>
      <c r="CP156" s="21"/>
      <c r="CQ156" s="125"/>
      <c r="CR156" s="21"/>
      <c r="CS156" s="125"/>
      <c r="CT156" s="21"/>
      <c r="CU156" s="125"/>
      <c r="CV156" s="21"/>
      <c r="CW156" s="125"/>
      <c r="CX156" s="21"/>
      <c r="CY156" s="125"/>
      <c r="CZ156" s="21"/>
      <c r="DA156" s="125"/>
      <c r="DB156" s="21"/>
      <c r="DC156" s="125"/>
      <c r="DD156" s="21"/>
      <c r="DE156" s="125"/>
      <c r="DF156" s="21"/>
      <c r="DG156" s="125"/>
      <c r="DH156" s="21"/>
      <c r="DI156" s="125"/>
      <c r="DJ156" s="21"/>
      <c r="DK156" s="125"/>
      <c r="DL156" s="21"/>
      <c r="DM156" s="125"/>
      <c r="DN156" s="21"/>
      <c r="DO156" s="125"/>
      <c r="DP156" s="21"/>
      <c r="DQ156" s="125"/>
      <c r="DR156" s="21"/>
      <c r="DS156" s="125"/>
    </row>
    <row r="157" spans="2:123" ht="13" x14ac:dyDescent="0.3">
      <c r="B157" s="97">
        <v>-1</v>
      </c>
      <c r="C157" s="80"/>
      <c r="F157" s="36"/>
      <c r="G157" s="42"/>
      <c r="H157" s="19"/>
      <c r="I157" s="19"/>
      <c r="J157" s="82"/>
      <c r="K157" s="82"/>
      <c r="L157" s="82"/>
      <c r="M157" s="41"/>
      <c r="N157" s="41"/>
      <c r="O157" s="41"/>
      <c r="P157" s="41"/>
      <c r="Q157" s="41"/>
      <c r="R157" s="41"/>
      <c r="S157" s="50">
        <v>1</v>
      </c>
      <c r="T157" s="42"/>
      <c r="U157" s="42"/>
      <c r="V157" s="41"/>
      <c r="W157" s="42"/>
      <c r="X157" s="42"/>
      <c r="Y157" s="42"/>
      <c r="Z157" s="42"/>
      <c r="AA157" s="42"/>
      <c r="AB157" s="19"/>
      <c r="AC157" s="94"/>
      <c r="AE157" s="148"/>
      <c r="AG157" s="148"/>
      <c r="AI157" s="148"/>
      <c r="AK157" s="148"/>
      <c r="AM157" s="148"/>
      <c r="AO157" s="148"/>
      <c r="AQ157" s="148"/>
      <c r="AS157" s="148"/>
      <c r="AU157" s="148"/>
      <c r="AW157" s="148"/>
      <c r="AY157" s="148"/>
      <c r="BA157" s="148"/>
      <c r="BC157" s="148"/>
      <c r="BE157" s="148"/>
      <c r="BG157" s="148"/>
      <c r="BI157" s="148"/>
      <c r="BK157" s="148"/>
      <c r="BM157" s="148"/>
      <c r="BO157" s="148"/>
      <c r="BQ157" s="148"/>
      <c r="BS157" s="148"/>
      <c r="BU157" s="148"/>
      <c r="BW157" s="148"/>
      <c r="BY157" s="148"/>
      <c r="CA157" s="148"/>
      <c r="CC157" s="148"/>
      <c r="CE157" s="148"/>
      <c r="CG157" s="148"/>
      <c r="CI157" s="148"/>
      <c r="CK157" s="148"/>
      <c r="CM157" s="148"/>
      <c r="CO157" s="148"/>
      <c r="CQ157" s="148"/>
      <c r="CS157" s="148"/>
      <c r="CU157" s="148"/>
      <c r="CW157" s="148"/>
      <c r="CY157" s="148"/>
      <c r="DA157" s="148"/>
      <c r="DC157" s="148"/>
      <c r="DE157" s="148"/>
      <c r="DG157" s="148"/>
      <c r="DI157" s="148"/>
      <c r="DK157" s="148"/>
      <c r="DM157" s="148"/>
      <c r="DO157" s="148"/>
      <c r="DQ157" s="148"/>
      <c r="DS157" s="148"/>
    </row>
    <row r="158" spans="2:123" ht="13" x14ac:dyDescent="0.3">
      <c r="B158" s="97">
        <f>IF(AND('AES Indiana Bill Calc.'!$D$17="SS",'AES Indiana Bill Calc.'!$D$18="Yes 100%",'AES Indiana Bill Calc.'!$D$20="Yes 2022"),'AES Indiana Bill Calc.'!$D$19,-1)</f>
        <v>-1</v>
      </c>
      <c r="C158" s="149" t="s">
        <v>148</v>
      </c>
      <c r="D158" s="148"/>
      <c r="F158" s="36" t="s">
        <v>170</v>
      </c>
      <c r="G158" s="42">
        <f>SUM(J158:M158,O158:P158,R158:AA158)</f>
        <v>39.89</v>
      </c>
      <c r="H158" s="19" t="e">
        <f>IF(ISBLANK(B158),0,+#REF!/B158)</f>
        <v>#REF!</v>
      </c>
      <c r="I158" s="148"/>
      <c r="J158" s="82">
        <f>IF(ISBLANK(B158),0,IF(B158&gt;J$94,+J$93,+F$93))</f>
        <v>40</v>
      </c>
      <c r="K158" s="82">
        <f>IF($B158&gt;K$94,ROUND(K$94*K$93,2),ROUND($B158*K$93,2))</f>
        <v>-0.12</v>
      </c>
      <c r="L158" s="82">
        <f>IF($B158&gt;K$94,ROUND(($B158-K$94)*L$93,2),0)</f>
        <v>0</v>
      </c>
      <c r="M158" s="148"/>
      <c r="N158" s="42">
        <f>SUM(K158:L158)</f>
        <v>-0.12</v>
      </c>
      <c r="O158" s="148"/>
      <c r="P158" s="148"/>
      <c r="Q158" s="148"/>
      <c r="S158" s="42">
        <f>ROUND($B158*S$93*S157,2)</f>
        <v>0</v>
      </c>
      <c r="T158" s="42">
        <f>ROUND($B158*T$93,2)</f>
        <v>0.01</v>
      </c>
      <c r="U158" s="42">
        <f>ROUND($B158*U$93,2)</f>
        <v>0</v>
      </c>
      <c r="V158" s="41">
        <f>ROUND($B158*V$90,2)</f>
        <v>0</v>
      </c>
      <c r="W158" s="148"/>
      <c r="X158" s="42">
        <f>ROUND($B158*X$93,2)</f>
        <v>0</v>
      </c>
      <c r="Y158" s="42">
        <f>ROUND($B158*Y$93,2)</f>
        <v>0</v>
      </c>
      <c r="Z158" s="42">
        <f>ROUND($B158*Z$93,2)</f>
        <v>0</v>
      </c>
      <c r="AA158" s="42">
        <f>ROUND($B158*AA$93,2)</f>
        <v>0</v>
      </c>
      <c r="AB158" s="19">
        <f>SUM(U$93:AA$93)+(-V$93+V120)</f>
        <v>3.4420000000000006E-3</v>
      </c>
      <c r="AC158" s="148"/>
      <c r="AE158" s="148"/>
      <c r="AG158" s="148"/>
      <c r="AI158" s="148"/>
      <c r="AK158" s="148"/>
      <c r="AM158" s="148"/>
      <c r="AO158" s="148"/>
      <c r="AQ158" s="148"/>
      <c r="AS158" s="148"/>
      <c r="AU158" s="148"/>
      <c r="AW158" s="148"/>
      <c r="AY158" s="148"/>
      <c r="BA158" s="148"/>
      <c r="BC158" s="148"/>
      <c r="BE158" s="148"/>
      <c r="BG158" s="148"/>
      <c r="BI158" s="148"/>
      <c r="BK158" s="148"/>
      <c r="BM158" s="148"/>
      <c r="BO158" s="148"/>
      <c r="BQ158" s="148"/>
      <c r="BS158" s="148"/>
      <c r="BU158" s="148"/>
      <c r="BW158" s="148"/>
      <c r="BY158" s="148"/>
      <c r="CA158" s="148"/>
      <c r="CC158" s="148"/>
      <c r="CE158" s="148"/>
      <c r="CG158" s="148"/>
      <c r="CI158" s="148"/>
      <c r="CK158" s="148"/>
      <c r="CM158" s="148"/>
      <c r="CO158" s="148"/>
      <c r="CQ158" s="148"/>
      <c r="CS158" s="148"/>
      <c r="CU158" s="148"/>
      <c r="CW158" s="148"/>
      <c r="CY158" s="148"/>
      <c r="DA158" s="148"/>
      <c r="DC158" s="148"/>
      <c r="DE158" s="148"/>
      <c r="DG158" s="148"/>
      <c r="DI158" s="148"/>
      <c r="DK158" s="148"/>
      <c r="DM158" s="148"/>
      <c r="DO158" s="148"/>
      <c r="DQ158" s="148"/>
      <c r="DS158" s="148"/>
    </row>
    <row r="159" spans="2:123" ht="13" x14ac:dyDescent="0.3">
      <c r="B159" s="97">
        <v>-1</v>
      </c>
      <c r="C159" s="80"/>
      <c r="F159" s="36"/>
      <c r="G159" s="42"/>
      <c r="H159" s="19"/>
      <c r="I159" s="19"/>
      <c r="J159" s="82"/>
      <c r="K159" s="82"/>
      <c r="L159" s="82"/>
      <c r="M159" s="41"/>
      <c r="N159" s="41"/>
      <c r="O159" s="41"/>
      <c r="P159" s="41"/>
      <c r="Q159" s="41"/>
      <c r="R159" s="41"/>
      <c r="S159" s="50">
        <v>0.5</v>
      </c>
      <c r="T159" s="42"/>
      <c r="U159" s="42"/>
      <c r="V159" s="41"/>
      <c r="W159" s="42"/>
      <c r="X159" s="42"/>
      <c r="Y159" s="42"/>
      <c r="Z159" s="42"/>
      <c r="AA159" s="42"/>
      <c r="AB159" s="19"/>
      <c r="AC159" s="94"/>
      <c r="AE159" s="148"/>
      <c r="AG159" s="148"/>
      <c r="AI159" s="148"/>
      <c r="AK159" s="148"/>
      <c r="AM159" s="148"/>
      <c r="AO159" s="148"/>
      <c r="AQ159" s="148"/>
      <c r="AS159" s="148"/>
      <c r="AU159" s="148"/>
      <c r="AW159" s="148"/>
      <c r="AY159" s="148"/>
      <c r="BA159" s="148"/>
      <c r="BC159" s="148"/>
      <c r="BE159" s="148"/>
      <c r="BG159" s="148"/>
      <c r="BI159" s="148"/>
      <c r="BK159" s="148"/>
      <c r="BM159" s="148"/>
      <c r="BO159" s="148"/>
      <c r="BQ159" s="148"/>
      <c r="BS159" s="148"/>
      <c r="BU159" s="148"/>
      <c r="BW159" s="148"/>
      <c r="BY159" s="148"/>
      <c r="CA159" s="148"/>
      <c r="CC159" s="148"/>
      <c r="CE159" s="148"/>
      <c r="CG159" s="148"/>
      <c r="CI159" s="148"/>
      <c r="CK159" s="148"/>
      <c r="CM159" s="148"/>
      <c r="CO159" s="148"/>
      <c r="CQ159" s="148"/>
      <c r="CS159" s="148"/>
      <c r="CU159" s="148"/>
      <c r="CW159" s="148"/>
      <c r="CY159" s="148"/>
      <c r="DA159" s="148"/>
      <c r="DC159" s="148"/>
      <c r="DE159" s="148"/>
      <c r="DG159" s="148"/>
      <c r="DI159" s="148"/>
      <c r="DK159" s="148"/>
      <c r="DM159" s="148"/>
      <c r="DO159" s="148"/>
      <c r="DQ159" s="148"/>
      <c r="DS159" s="148"/>
    </row>
    <row r="160" spans="2:123" ht="13" x14ac:dyDescent="0.3">
      <c r="B160" s="97">
        <f>IF(AND('AES Indiana Bill Calc.'!$D$17="SS",'AES Indiana Bill Calc.'!$D$18="Yes 50%",'AES Indiana Bill Calc.'!$D$20="Yes 2022"),'AES Indiana Bill Calc.'!$D$19,-1)</f>
        <v>-1</v>
      </c>
      <c r="C160" s="149" t="s">
        <v>149</v>
      </c>
      <c r="D160" s="148"/>
      <c r="F160" s="36" t="s">
        <v>170</v>
      </c>
      <c r="G160" s="42">
        <f>SUM(J160:M160,O160:P160,R160:AA160)</f>
        <v>39.89</v>
      </c>
      <c r="H160" s="19" t="e">
        <f>IF(ISBLANK(B160),0,+#REF!/B160)</f>
        <v>#REF!</v>
      </c>
      <c r="I160" s="148"/>
      <c r="J160" s="82">
        <f>IF(ISBLANK(B160),0,IF(B160&gt;J$94,+J$93,+F$93))</f>
        <v>40</v>
      </c>
      <c r="K160" s="82">
        <f>IF($B160&gt;K$94,ROUND(K$94*K$93,2),ROUND($B160*K$93,2))</f>
        <v>-0.12</v>
      </c>
      <c r="L160" s="82">
        <f>IF($B160&gt;K$94,ROUND(($B160-K$94)*L$93,2),0)</f>
        <v>0</v>
      </c>
      <c r="M160" s="148"/>
      <c r="N160" s="42">
        <f>SUM(K160:L160)</f>
        <v>-0.12</v>
      </c>
      <c r="O160" s="148"/>
      <c r="P160" s="148"/>
      <c r="Q160" s="148"/>
      <c r="S160" s="42">
        <f>ROUND($B160*S$93*S159,2)</f>
        <v>0</v>
      </c>
      <c r="T160" s="42">
        <f>ROUND($B160*T$93,2)</f>
        <v>0.01</v>
      </c>
      <c r="U160" s="42">
        <f>ROUND($B160*U$93,2)</f>
        <v>0</v>
      </c>
      <c r="V160" s="41">
        <f>ROUND($B160*V$90,2)</f>
        <v>0</v>
      </c>
      <c r="W160" s="148"/>
      <c r="X160" s="42">
        <f>ROUND($B160*X$93,2)</f>
        <v>0</v>
      </c>
      <c r="Y160" s="42">
        <f>ROUND($B160*Y$93,2)</f>
        <v>0</v>
      </c>
      <c r="Z160" s="42">
        <f>ROUND($B160*Z$93,2)</f>
        <v>0</v>
      </c>
      <c r="AA160" s="42">
        <f>ROUND($B160*AA$93,2)</f>
        <v>0</v>
      </c>
      <c r="AB160" s="19">
        <f>SUM(U$93:AA$93)+(-V$93+V122)</f>
        <v>3.4420000000000006E-3</v>
      </c>
      <c r="AC160" s="148"/>
      <c r="AE160" s="148"/>
      <c r="AG160" s="148"/>
      <c r="AI160" s="148"/>
      <c r="AK160" s="148"/>
      <c r="AM160" s="148"/>
      <c r="AO160" s="148"/>
      <c r="AQ160" s="148"/>
      <c r="AS160" s="148"/>
      <c r="AU160" s="148"/>
      <c r="AW160" s="148"/>
      <c r="AY160" s="148"/>
      <c r="BA160" s="148"/>
      <c r="BC160" s="148"/>
      <c r="BE160" s="148"/>
      <c r="BG160" s="148"/>
      <c r="BI160" s="148"/>
      <c r="BK160" s="148"/>
      <c r="BM160" s="148"/>
      <c r="BO160" s="148"/>
      <c r="BQ160" s="148"/>
      <c r="BS160" s="148"/>
      <c r="BU160" s="148"/>
      <c r="BW160" s="148"/>
      <c r="BY160" s="148"/>
      <c r="CA160" s="148"/>
      <c r="CC160" s="148"/>
      <c r="CE160" s="148"/>
      <c r="CG160" s="148"/>
      <c r="CI160" s="148"/>
      <c r="CK160" s="148"/>
      <c r="CM160" s="148"/>
      <c r="CO160" s="148"/>
      <c r="CQ160" s="148"/>
      <c r="CS160" s="148"/>
      <c r="CU160" s="148"/>
      <c r="CW160" s="148"/>
      <c r="CY160" s="148"/>
      <c r="DA160" s="148"/>
      <c r="DC160" s="148"/>
      <c r="DE160" s="148"/>
      <c r="DG160" s="148"/>
      <c r="DI160" s="148"/>
      <c r="DK160" s="148"/>
      <c r="DM160" s="148"/>
      <c r="DO160" s="148"/>
      <c r="DQ160" s="148"/>
      <c r="DS160" s="148"/>
    </row>
    <row r="161" spans="1:123" ht="13" x14ac:dyDescent="0.3">
      <c r="B161" s="97">
        <v>-1</v>
      </c>
      <c r="C161" s="80"/>
      <c r="F161" s="36"/>
      <c r="G161" s="42"/>
      <c r="H161" s="19"/>
      <c r="I161" s="19"/>
      <c r="J161" s="82"/>
      <c r="K161" s="82"/>
      <c r="L161" s="82"/>
      <c r="M161" s="41"/>
      <c r="N161" s="41"/>
      <c r="O161" s="41"/>
      <c r="P161" s="41"/>
      <c r="Q161" s="41"/>
      <c r="R161" s="41"/>
      <c r="S161" s="50">
        <v>0.25</v>
      </c>
      <c r="T161" s="42"/>
      <c r="U161" s="42"/>
      <c r="V161" s="41"/>
      <c r="W161" s="42"/>
      <c r="X161" s="42"/>
      <c r="Y161" s="42"/>
      <c r="Z161" s="42"/>
      <c r="AA161" s="42"/>
      <c r="AB161" s="19"/>
      <c r="AC161" s="94"/>
      <c r="AE161" s="148"/>
      <c r="AG161" s="148"/>
      <c r="AI161" s="148"/>
      <c r="AK161" s="148"/>
      <c r="AM161" s="148"/>
      <c r="AO161" s="148"/>
      <c r="AQ161" s="148"/>
      <c r="AS161" s="148"/>
      <c r="AU161" s="148"/>
      <c r="AW161" s="148"/>
      <c r="AY161" s="148"/>
      <c r="BA161" s="148"/>
      <c r="BC161" s="148"/>
      <c r="BE161" s="148"/>
      <c r="BG161" s="148"/>
      <c r="BI161" s="148"/>
      <c r="BK161" s="148"/>
      <c r="BM161" s="148"/>
      <c r="BO161" s="148"/>
      <c r="BQ161" s="148"/>
      <c r="BS161" s="148"/>
      <c r="BU161" s="148"/>
      <c r="BW161" s="148"/>
      <c r="BY161" s="148"/>
      <c r="CA161" s="148"/>
      <c r="CC161" s="148"/>
      <c r="CE161" s="148"/>
      <c r="CG161" s="148"/>
      <c r="CI161" s="148"/>
      <c r="CK161" s="148"/>
      <c r="CM161" s="148"/>
      <c r="CO161" s="148"/>
      <c r="CQ161" s="148"/>
      <c r="CS161" s="148"/>
      <c r="CU161" s="148"/>
      <c r="CW161" s="148"/>
      <c r="CY161" s="148"/>
      <c r="DA161" s="148"/>
      <c r="DC161" s="148"/>
      <c r="DE161" s="148"/>
      <c r="DG161" s="148"/>
      <c r="DI161" s="148"/>
      <c r="DK161" s="148"/>
      <c r="DM161" s="148"/>
      <c r="DO161" s="148"/>
      <c r="DQ161" s="148"/>
      <c r="DS161" s="148"/>
    </row>
    <row r="162" spans="1:123" ht="13" x14ac:dyDescent="0.3">
      <c r="B162" s="97">
        <f>IF(AND('AES Indiana Bill Calc.'!$D$17="SS",'AES Indiana Bill Calc.'!$D$18="Yes 25%",'AES Indiana Bill Calc.'!$D$20="Yes 2022"),'AES Indiana Bill Calc.'!$D$19,-1)</f>
        <v>-1</v>
      </c>
      <c r="C162" s="149" t="s">
        <v>150</v>
      </c>
      <c r="D162" s="148"/>
      <c r="F162" s="36" t="s">
        <v>170</v>
      </c>
      <c r="G162" s="42">
        <f>SUM(J162:M162,O162:P162,R162:AA162)</f>
        <v>39.89</v>
      </c>
      <c r="H162" s="19" t="e">
        <f>IF(ISBLANK(B162),0,+#REF!/B162)</f>
        <v>#REF!</v>
      </c>
      <c r="I162" s="148"/>
      <c r="J162" s="82">
        <f>IF(ISBLANK(B162),0,IF(B162&gt;J$94,+J$93,+F$93))</f>
        <v>40</v>
      </c>
      <c r="K162" s="82">
        <f>IF($B162&gt;K$94,ROUND(K$94*K$93,2),ROUND($B162*K$93,2))</f>
        <v>-0.12</v>
      </c>
      <c r="L162" s="82">
        <f>IF($B162&gt;K$94,ROUND(($B162-K$94)*L$93,2),0)</f>
        <v>0</v>
      </c>
      <c r="M162" s="148"/>
      <c r="N162" s="42">
        <f>SUM(K162:L162)</f>
        <v>-0.12</v>
      </c>
      <c r="O162" s="148"/>
      <c r="P162" s="148"/>
      <c r="Q162" s="148"/>
      <c r="S162" s="42">
        <f>ROUND($B162*S$93*S161,2)</f>
        <v>0</v>
      </c>
      <c r="T162" s="42">
        <f>ROUND($B162*T$93,2)</f>
        <v>0.01</v>
      </c>
      <c r="U162" s="42">
        <f>ROUND($B162*U$93,2)</f>
        <v>0</v>
      </c>
      <c r="V162" s="41">
        <f>ROUND($B162*V$90,2)</f>
        <v>0</v>
      </c>
      <c r="W162" s="148"/>
      <c r="X162" s="42">
        <f>ROUND($B162*X$93,2)</f>
        <v>0</v>
      </c>
      <c r="Y162" s="42">
        <f>ROUND($B162*Y$93,2)</f>
        <v>0</v>
      </c>
      <c r="Z162" s="42">
        <f>ROUND($B162*Z$93,2)</f>
        <v>0</v>
      </c>
      <c r="AA162" s="42">
        <f>ROUND($B162*AA$93,2)</f>
        <v>0</v>
      </c>
      <c r="AB162" s="19">
        <f>SUM(U$93:AA$93)+(-V$93+V124)</f>
        <v>3.4420000000000006E-3</v>
      </c>
      <c r="AC162" s="148"/>
      <c r="AE162" s="148"/>
      <c r="AG162" s="148"/>
      <c r="AI162" s="148"/>
      <c r="AK162" s="148"/>
      <c r="AM162" s="148"/>
      <c r="AO162" s="148"/>
      <c r="AQ162" s="148"/>
      <c r="AS162" s="148"/>
      <c r="AU162" s="148"/>
      <c r="AW162" s="148"/>
      <c r="AY162" s="148"/>
      <c r="BA162" s="148"/>
      <c r="BC162" s="148"/>
      <c r="BE162" s="148"/>
      <c r="BG162" s="148"/>
      <c r="BI162" s="148"/>
      <c r="BK162" s="148"/>
      <c r="BM162" s="148"/>
      <c r="BO162" s="148"/>
      <c r="BQ162" s="148"/>
      <c r="BS162" s="148"/>
      <c r="BU162" s="148"/>
      <c r="BW162" s="148"/>
      <c r="BY162" s="148"/>
      <c r="CA162" s="148"/>
      <c r="CC162" s="148"/>
      <c r="CE162" s="148"/>
      <c r="CG162" s="148"/>
      <c r="CI162" s="148"/>
      <c r="CK162" s="148"/>
      <c r="CM162" s="148"/>
      <c r="CO162" s="148"/>
      <c r="CQ162" s="148"/>
      <c r="CS162" s="148"/>
      <c r="CU162" s="148"/>
      <c r="CW162" s="148"/>
      <c r="CY162" s="148"/>
      <c r="DA162" s="148"/>
      <c r="DC162" s="148"/>
      <c r="DE162" s="148"/>
      <c r="DG162" s="148"/>
      <c r="DI162" s="148"/>
      <c r="DK162" s="148"/>
      <c r="DM162" s="148"/>
      <c r="DO162" s="148"/>
      <c r="DQ162" s="148"/>
      <c r="DS162" s="148"/>
    </row>
    <row r="163" spans="1:123" ht="13" x14ac:dyDescent="0.3">
      <c r="B163" s="97">
        <v>-1</v>
      </c>
      <c r="C163" s="80"/>
      <c r="F163" s="36"/>
      <c r="G163" s="42"/>
      <c r="H163" s="19"/>
      <c r="I163" s="19"/>
      <c r="J163" s="82"/>
      <c r="K163" s="82"/>
      <c r="L163" s="82"/>
      <c r="M163" s="41"/>
      <c r="N163" s="41"/>
      <c r="O163" s="41"/>
      <c r="P163" s="41"/>
      <c r="Q163" s="41"/>
      <c r="R163" s="41"/>
      <c r="S163" s="50">
        <v>0.1</v>
      </c>
      <c r="T163" s="42"/>
      <c r="U163" s="42"/>
      <c r="V163" s="41"/>
      <c r="W163" s="42"/>
      <c r="X163" s="42"/>
      <c r="Y163" s="42"/>
      <c r="Z163" s="42"/>
      <c r="AA163" s="42"/>
      <c r="AB163" s="19"/>
      <c r="AC163" s="94"/>
      <c r="AE163" s="148"/>
      <c r="AG163" s="148"/>
      <c r="AI163" s="148"/>
      <c r="AK163" s="148"/>
      <c r="AM163" s="148"/>
      <c r="AO163" s="148"/>
      <c r="AQ163" s="148"/>
      <c r="AS163" s="148"/>
      <c r="AU163" s="148"/>
      <c r="AW163" s="148"/>
      <c r="AY163" s="148"/>
      <c r="BA163" s="148"/>
      <c r="BC163" s="148"/>
      <c r="BE163" s="148"/>
      <c r="BG163" s="148"/>
      <c r="BI163" s="148"/>
      <c r="BK163" s="148"/>
      <c r="BM163" s="148"/>
      <c r="BO163" s="148"/>
      <c r="BQ163" s="148"/>
      <c r="BS163" s="148"/>
      <c r="BU163" s="148"/>
      <c r="BW163" s="148"/>
      <c r="BY163" s="148"/>
      <c r="CA163" s="148"/>
      <c r="CC163" s="148"/>
      <c r="CE163" s="148"/>
      <c r="CG163" s="148"/>
      <c r="CI163" s="148"/>
      <c r="CK163" s="148"/>
      <c r="CM163" s="148"/>
      <c r="CO163" s="148"/>
      <c r="CQ163" s="148"/>
      <c r="CS163" s="148"/>
      <c r="CU163" s="148"/>
      <c r="CW163" s="148"/>
      <c r="CY163" s="148"/>
      <c r="DA163" s="148"/>
      <c r="DC163" s="148"/>
      <c r="DE163" s="148"/>
      <c r="DG163" s="148"/>
      <c r="DI163" s="148"/>
      <c r="DK163" s="148"/>
      <c r="DM163" s="148"/>
      <c r="DO163" s="148"/>
      <c r="DQ163" s="148"/>
      <c r="DS163" s="148"/>
    </row>
    <row r="164" spans="1:123" ht="13" x14ac:dyDescent="0.3">
      <c r="B164" s="97">
        <f>IF(AND('AES Indiana Bill Calc.'!$D$17="SS",'AES Indiana Bill Calc.'!$D$18="Yes 10%",'AES Indiana Bill Calc.'!$D$20="Yes 2022"),'AES Indiana Bill Calc.'!$D$19,-1)</f>
        <v>-1</v>
      </c>
      <c r="C164" s="149" t="s">
        <v>164</v>
      </c>
      <c r="D164" s="148"/>
      <c r="F164" s="36" t="s">
        <v>170</v>
      </c>
      <c r="G164" s="42">
        <f>SUM(J164:M164,O164:P164,R164:AA164)</f>
        <v>39.89</v>
      </c>
      <c r="H164" s="19" t="e">
        <f>IF(ISBLANK(B164),0,+#REF!/B164)</f>
        <v>#REF!</v>
      </c>
      <c r="I164" s="148"/>
      <c r="J164" s="82">
        <f>IF(ISBLANK(B164),0,IF(B164&gt;J$94,+J$93,+F$93))</f>
        <v>40</v>
      </c>
      <c r="K164" s="82">
        <f>IF($B164&gt;K$94,ROUND(K$94*K$93,2),ROUND($B164*K$93,2))</f>
        <v>-0.12</v>
      </c>
      <c r="L164" s="82">
        <f>IF($B164&gt;K$94,ROUND(($B164-K$94)*L$93,2),0)</f>
        <v>0</v>
      </c>
      <c r="M164" s="148"/>
      <c r="N164" s="42">
        <f>SUM(K164:L164)</f>
        <v>-0.12</v>
      </c>
      <c r="O164" s="148"/>
      <c r="P164" s="148"/>
      <c r="Q164" s="148"/>
      <c r="S164" s="42">
        <f>ROUND($B164*S$93*S163,2)</f>
        <v>0</v>
      </c>
      <c r="T164" s="42">
        <f>ROUND($B164*T$93,2)</f>
        <v>0.01</v>
      </c>
      <c r="U164" s="42">
        <f>ROUND($B164*U$93,2)</f>
        <v>0</v>
      </c>
      <c r="V164" s="41">
        <f>ROUND($B164*V$90,2)</f>
        <v>0</v>
      </c>
      <c r="W164" s="148"/>
      <c r="X164" s="42">
        <f>ROUND($B164*X$93,2)</f>
        <v>0</v>
      </c>
      <c r="Y164" s="42">
        <f>ROUND($B164*Y$93,2)</f>
        <v>0</v>
      </c>
      <c r="Z164" s="42">
        <f>ROUND($B164*Z$93,2)</f>
        <v>0</v>
      </c>
      <c r="AA164" s="42">
        <f>ROUND($B164*AA$93,2)</f>
        <v>0</v>
      </c>
      <c r="AB164" s="19">
        <f>SUM(U$93:AA$93)+(-V$93+V126)</f>
        <v>3.4420000000000006E-3</v>
      </c>
      <c r="AC164" s="148"/>
      <c r="AE164" s="148"/>
      <c r="AG164" s="148"/>
      <c r="AI164" s="148"/>
      <c r="AK164" s="148"/>
      <c r="AM164" s="148"/>
      <c r="AO164" s="148"/>
      <c r="AQ164" s="148"/>
      <c r="AS164" s="148"/>
      <c r="AU164" s="148"/>
      <c r="AW164" s="148"/>
      <c r="AY164" s="148"/>
      <c r="BA164" s="148"/>
      <c r="BC164" s="148"/>
      <c r="BE164" s="148"/>
      <c r="BG164" s="148"/>
      <c r="BI164" s="148"/>
      <c r="BK164" s="148"/>
      <c r="BM164" s="148"/>
      <c r="BO164" s="148"/>
      <c r="BQ164" s="148"/>
      <c r="BS164" s="148"/>
      <c r="BU164" s="148"/>
      <c r="BW164" s="148"/>
      <c r="BY164" s="148"/>
      <c r="CA164" s="148"/>
      <c r="CC164" s="148"/>
      <c r="CE164" s="148"/>
      <c r="CG164" s="148"/>
      <c r="CI164" s="148"/>
      <c r="CK164" s="148"/>
      <c r="CM164" s="148"/>
      <c r="CO164" s="148"/>
      <c r="CQ164" s="148"/>
      <c r="CS164" s="148"/>
      <c r="CU164" s="148"/>
      <c r="CW164" s="148"/>
      <c r="CY164" s="148"/>
      <c r="DA164" s="148"/>
      <c r="DC164" s="148"/>
      <c r="DE164" s="148"/>
      <c r="DG164" s="148"/>
      <c r="DI164" s="148"/>
      <c r="DK164" s="148"/>
      <c r="DM164" s="148"/>
      <c r="DO164" s="148"/>
      <c r="DQ164" s="148"/>
      <c r="DS164" s="148"/>
    </row>
    <row r="165" spans="1:123" ht="13" x14ac:dyDescent="0.3">
      <c r="B165" s="97">
        <v>-1</v>
      </c>
      <c r="C165" s="40"/>
      <c r="F165" s="36"/>
      <c r="G165" s="42"/>
      <c r="H165" s="19"/>
      <c r="I165" s="19"/>
      <c r="J165" s="82"/>
      <c r="K165" s="82"/>
      <c r="L165" s="82"/>
      <c r="M165" s="41"/>
      <c r="N165" s="41"/>
      <c r="O165" s="41"/>
      <c r="P165" s="41"/>
      <c r="Q165" s="41"/>
      <c r="R165" s="41"/>
      <c r="S165" s="50">
        <v>0</v>
      </c>
      <c r="T165" s="42"/>
      <c r="U165" s="42"/>
      <c r="V165" s="41"/>
      <c r="W165" s="42"/>
      <c r="X165" s="42"/>
      <c r="Y165" s="42"/>
      <c r="Z165" s="42"/>
      <c r="AA165" s="42"/>
      <c r="AB165" s="19"/>
      <c r="AC165" s="94"/>
      <c r="AE165" s="148"/>
      <c r="AG165" s="148"/>
      <c r="AI165" s="148"/>
      <c r="AK165" s="148"/>
      <c r="AM165" s="148"/>
      <c r="AO165" s="148"/>
      <c r="AQ165" s="148"/>
      <c r="AS165" s="148"/>
      <c r="AU165" s="148"/>
      <c r="AW165" s="148"/>
      <c r="AY165" s="148"/>
      <c r="BA165" s="148"/>
      <c r="BC165" s="148"/>
      <c r="BE165" s="148"/>
      <c r="BG165" s="148"/>
      <c r="BI165" s="148"/>
      <c r="BK165" s="148"/>
      <c r="BM165" s="148"/>
      <c r="BO165" s="148"/>
      <c r="BQ165" s="148"/>
      <c r="BS165" s="148"/>
      <c r="BU165" s="148"/>
      <c r="BW165" s="148"/>
      <c r="BY165" s="148"/>
      <c r="CA165" s="148"/>
      <c r="CC165" s="148"/>
      <c r="CE165" s="148"/>
      <c r="CG165" s="148"/>
      <c r="CI165" s="148"/>
      <c r="CK165" s="148"/>
      <c r="CM165" s="148"/>
      <c r="CO165" s="148"/>
      <c r="CQ165" s="148"/>
      <c r="CS165" s="148"/>
      <c r="CU165" s="148"/>
      <c r="CW165" s="148"/>
      <c r="CY165" s="148"/>
      <c r="DA165" s="148"/>
      <c r="DC165" s="148"/>
      <c r="DE165" s="148"/>
      <c r="DG165" s="148"/>
      <c r="DI165" s="148"/>
      <c r="DK165" s="148"/>
      <c r="DM165" s="148"/>
      <c r="DO165" s="148"/>
      <c r="DQ165" s="148"/>
      <c r="DS165" s="148"/>
    </row>
    <row r="166" spans="1:123" ht="13" x14ac:dyDescent="0.3">
      <c r="B166" s="97">
        <f>IF(AND('AES Indiana Bill Calc.'!$D$17="SS",'AES Indiana Bill Calc.'!$D$18="No",'AES Indiana Bill Calc.'!$D$20="Yes 2022"),'AES Indiana Bill Calc.'!$D$19,-1)</f>
        <v>-1</v>
      </c>
      <c r="C166" s="149" t="s">
        <v>147</v>
      </c>
      <c r="D166" s="148"/>
      <c r="F166" s="36" t="s">
        <v>170</v>
      </c>
      <c r="G166" s="42">
        <f>SUM(J166:M166,O166:P166,R166:AA166)</f>
        <v>39.89</v>
      </c>
      <c r="H166" s="19" t="e">
        <f>IF(ISBLANK(B166),0,+#REF!/B166)</f>
        <v>#REF!</v>
      </c>
      <c r="I166" s="148"/>
      <c r="J166" s="82">
        <f>IF(ISBLANK(B166),0,IF(B166&gt;J$94,+J$93,+F$93))</f>
        <v>40</v>
      </c>
      <c r="K166" s="82">
        <f>IF($B166&gt;K$94,ROUND(K$94*K$93,2),ROUND($B166*K$93,2))</f>
        <v>-0.12</v>
      </c>
      <c r="L166" s="82">
        <f>IF($B166&gt;K$94,ROUND(($B166-K$94)*L$93,2),0)</f>
        <v>0</v>
      </c>
      <c r="M166" s="148"/>
      <c r="N166" s="42">
        <f>SUM(K166:L166)</f>
        <v>-0.12</v>
      </c>
      <c r="O166" s="148"/>
      <c r="P166" s="148"/>
      <c r="Q166" s="148"/>
      <c r="S166" s="42">
        <f>ROUND($B166*S$93*S165,2)</f>
        <v>0</v>
      </c>
      <c r="T166" s="42">
        <f>ROUND($B166*T$93,2)</f>
        <v>0.01</v>
      </c>
      <c r="U166" s="42">
        <f>ROUND($B166*U$93,2)</f>
        <v>0</v>
      </c>
      <c r="V166" s="41">
        <f>ROUND($B166*V$90,2)</f>
        <v>0</v>
      </c>
      <c r="W166" s="148"/>
      <c r="X166" s="42">
        <f>ROUND($B166*X$93,2)</f>
        <v>0</v>
      </c>
      <c r="Y166" s="42">
        <f>ROUND($B166*Y$93,2)</f>
        <v>0</v>
      </c>
      <c r="Z166" s="42">
        <f>ROUND($B166*Z$93,2)</f>
        <v>0</v>
      </c>
      <c r="AA166" s="42">
        <f>ROUND($B166*AA$93,2)</f>
        <v>0</v>
      </c>
      <c r="AB166" s="19">
        <f>SUM(U$93:AA$93)+(-V$93+V128)</f>
        <v>3.4420000000000006E-3</v>
      </c>
      <c r="AC166" s="148"/>
      <c r="AE166" s="148"/>
      <c r="AG166" s="148"/>
      <c r="AI166" s="148"/>
      <c r="AK166" s="148"/>
      <c r="AM166" s="148"/>
      <c r="AO166" s="148"/>
      <c r="AQ166" s="148"/>
      <c r="AS166" s="148"/>
      <c r="AU166" s="148"/>
      <c r="AW166" s="148"/>
      <c r="AY166" s="148"/>
      <c r="BA166" s="148"/>
      <c r="BC166" s="148"/>
      <c r="BE166" s="148"/>
      <c r="BG166" s="148"/>
      <c r="BI166" s="148"/>
      <c r="BK166" s="148"/>
      <c r="BM166" s="148"/>
      <c r="BO166" s="148"/>
      <c r="BQ166" s="148"/>
      <c r="BS166" s="148"/>
      <c r="BU166" s="148"/>
      <c r="BW166" s="148"/>
      <c r="BY166" s="148"/>
      <c r="CA166" s="148"/>
      <c r="CC166" s="148"/>
      <c r="CE166" s="148"/>
      <c r="CG166" s="148"/>
      <c r="CI166" s="148"/>
      <c r="CK166" s="148"/>
      <c r="CM166" s="148"/>
      <c r="CO166" s="148"/>
      <c r="CQ166" s="148"/>
      <c r="CS166" s="148"/>
      <c r="CU166" s="148"/>
      <c r="CW166" s="148"/>
      <c r="CY166" s="148"/>
      <c r="DA166" s="148"/>
      <c r="DC166" s="148"/>
      <c r="DE166" s="148"/>
      <c r="DG166" s="148"/>
      <c r="DI166" s="148"/>
      <c r="DK166" s="148"/>
      <c r="DM166" s="148"/>
      <c r="DO166" s="148"/>
      <c r="DQ166" s="148"/>
      <c r="DS166" s="148"/>
    </row>
    <row r="167" spans="1:123" ht="13" x14ac:dyDescent="0.3">
      <c r="B167" s="97">
        <v>-1</v>
      </c>
      <c r="C167" s="149"/>
      <c r="D167" s="148"/>
      <c r="F167" s="36"/>
      <c r="G167" s="42"/>
      <c r="H167" s="19"/>
      <c r="I167" s="148"/>
      <c r="J167" s="82"/>
      <c r="K167" s="82"/>
      <c r="L167" s="82"/>
      <c r="M167" s="148"/>
      <c r="N167" s="42"/>
      <c r="O167" s="148"/>
      <c r="P167" s="148"/>
      <c r="Q167" s="148"/>
      <c r="S167" s="50">
        <v>1</v>
      </c>
      <c r="T167" s="42"/>
      <c r="U167" s="42"/>
      <c r="V167" s="41"/>
      <c r="W167" s="148"/>
      <c r="X167" s="42"/>
      <c r="Y167" s="42"/>
      <c r="Z167" s="42"/>
      <c r="AA167" s="42"/>
      <c r="AB167" s="19"/>
      <c r="AC167" s="148"/>
      <c r="AE167" s="148"/>
      <c r="AG167" s="148"/>
      <c r="AI167" s="148"/>
      <c r="AK167" s="148"/>
      <c r="AM167" s="148"/>
      <c r="AO167" s="148"/>
      <c r="AQ167" s="148"/>
      <c r="AS167" s="148"/>
      <c r="AU167" s="148"/>
      <c r="AW167" s="148"/>
      <c r="AY167" s="148"/>
      <c r="BA167" s="148"/>
      <c r="BC167" s="148"/>
      <c r="BE167" s="148"/>
      <c r="BG167" s="148"/>
      <c r="BI167" s="148"/>
      <c r="BK167" s="148"/>
      <c r="BM167" s="148"/>
      <c r="BO167" s="148"/>
      <c r="BQ167" s="148"/>
      <c r="BS167" s="148"/>
      <c r="BU167" s="148"/>
      <c r="BW167" s="148"/>
      <c r="BY167" s="148"/>
      <c r="CA167" s="148"/>
      <c r="CC167" s="148"/>
      <c r="CE167" s="148"/>
      <c r="CG167" s="148"/>
      <c r="CI167" s="148"/>
      <c r="CK167" s="148"/>
      <c r="CM167" s="148"/>
      <c r="CO167" s="148"/>
      <c r="CQ167" s="148"/>
      <c r="CS167" s="148"/>
      <c r="CU167" s="148"/>
      <c r="CW167" s="148"/>
      <c r="CY167" s="148"/>
      <c r="DA167" s="148"/>
      <c r="DC167" s="148"/>
      <c r="DE167" s="148"/>
      <c r="DG167" s="148"/>
      <c r="DI167" s="148"/>
      <c r="DK167" s="148"/>
      <c r="DM167" s="148"/>
      <c r="DO167" s="148"/>
      <c r="DQ167" s="148"/>
      <c r="DS167" s="148"/>
    </row>
    <row r="168" spans="1:123" ht="13" x14ac:dyDescent="0.3">
      <c r="B168" s="97">
        <f>IF(AND('AES Indiana Bill Calc.'!$D$17="SS",'AES Indiana Bill Calc.'!$D$18="Yes 100%",'AES Indiana Bill Calc.'!$D$20="Yes 2023"),'AES Indiana Bill Calc.'!$D$19,-1)</f>
        <v>-1</v>
      </c>
      <c r="C168" s="149" t="s">
        <v>148</v>
      </c>
      <c r="D168" s="148"/>
      <c r="F168" s="36" t="s">
        <v>171</v>
      </c>
      <c r="G168" s="42">
        <f>SUM(J168:M168,O168:P168,R168:AA168)</f>
        <v>39.89</v>
      </c>
      <c r="H168" s="19" t="e">
        <f>IF(ISBLANK(B168),0,+#REF!/B168)</f>
        <v>#REF!</v>
      </c>
      <c r="I168" s="148"/>
      <c r="J168" s="82">
        <f>IF(ISBLANK(B168),0,IF(B168&gt;J$94,+J$93,+F$93))</f>
        <v>40</v>
      </c>
      <c r="K168" s="82">
        <f>IF($B168&gt;K$94,ROUND(K$94*K$93,2),ROUND($B168*K$93,2))</f>
        <v>-0.12</v>
      </c>
      <c r="L168" s="82">
        <f>IF($B168&gt;K$94,ROUND(($B168-K$94)*L$93,2),0)</f>
        <v>0</v>
      </c>
      <c r="M168" s="148"/>
      <c r="N168" s="42">
        <f>SUM(K168:L168)</f>
        <v>-0.12</v>
      </c>
      <c r="O168" s="148"/>
      <c r="P168" s="148"/>
      <c r="Q168" s="148"/>
      <c r="S168" s="42">
        <f>ROUND($B168*S$93*S167,2)</f>
        <v>0</v>
      </c>
      <c r="T168" s="42">
        <f>ROUND($B168*T$93,2)</f>
        <v>0.01</v>
      </c>
      <c r="U168" s="42">
        <f>ROUND($B168*U$93,2)</f>
        <v>0</v>
      </c>
      <c r="V168" s="41">
        <f>ROUND($B168*V$91,2)</f>
        <v>0</v>
      </c>
      <c r="W168" s="148"/>
      <c r="X168" s="42">
        <f>ROUND($B168*X$93,2)</f>
        <v>0</v>
      </c>
      <c r="Y168" s="42">
        <f>ROUND($B168*Y$93,2)</f>
        <v>0</v>
      </c>
      <c r="Z168" s="42">
        <f>ROUND($B168*Z$93,2)</f>
        <v>0</v>
      </c>
      <c r="AA168" s="42">
        <f>ROUND($B168*AA$93,2)</f>
        <v>0</v>
      </c>
      <c r="AB168" s="19">
        <f>SUM(U$93:AA$93)+(-V$93+V130)</f>
        <v>3.4420000000000006E-3</v>
      </c>
      <c r="AC168" s="148"/>
      <c r="AE168" s="148"/>
      <c r="AG168" s="148"/>
      <c r="AI168" s="148"/>
      <c r="AK168" s="148"/>
      <c r="AM168" s="148"/>
      <c r="AO168" s="148"/>
      <c r="AQ168" s="148"/>
      <c r="AS168" s="148"/>
      <c r="AU168" s="148"/>
      <c r="AW168" s="148"/>
      <c r="AY168" s="148"/>
      <c r="BA168" s="148"/>
      <c r="BC168" s="148"/>
      <c r="BE168" s="148"/>
      <c r="BG168" s="148"/>
      <c r="BI168" s="148"/>
      <c r="BK168" s="148"/>
      <c r="BM168" s="148"/>
      <c r="BO168" s="148"/>
      <c r="BQ168" s="148"/>
      <c r="BS168" s="148"/>
      <c r="BU168" s="148"/>
      <c r="BW168" s="148"/>
      <c r="BY168" s="148"/>
      <c r="CA168" s="148"/>
      <c r="CC168" s="148"/>
      <c r="CE168" s="148"/>
      <c r="CG168" s="148"/>
      <c r="CI168" s="148"/>
      <c r="CK168" s="148"/>
      <c r="CM168" s="148"/>
      <c r="CO168" s="148"/>
      <c r="CQ168" s="148"/>
      <c r="CS168" s="148"/>
      <c r="CU168" s="148"/>
      <c r="CW168" s="148"/>
      <c r="CY168" s="148"/>
      <c r="DA168" s="148"/>
      <c r="DC168" s="148"/>
      <c r="DE168" s="148"/>
      <c r="DG168" s="148"/>
      <c r="DI168" s="148"/>
      <c r="DK168" s="148"/>
      <c r="DM168" s="148"/>
      <c r="DO168" s="148"/>
      <c r="DQ168" s="148"/>
      <c r="DS168" s="148"/>
    </row>
    <row r="169" spans="1:123" ht="13" x14ac:dyDescent="0.3">
      <c r="B169" s="97">
        <v>-1</v>
      </c>
      <c r="C169" s="9"/>
      <c r="F169" s="36"/>
      <c r="G169" s="42"/>
      <c r="H169" s="19"/>
      <c r="I169" s="19"/>
      <c r="J169" s="82"/>
      <c r="K169" s="82"/>
      <c r="L169" s="82"/>
      <c r="M169" s="41"/>
      <c r="N169" s="41"/>
      <c r="O169" s="41"/>
      <c r="P169" s="41"/>
      <c r="Q169" s="41"/>
      <c r="R169" s="41"/>
      <c r="S169" s="50">
        <v>0.5</v>
      </c>
      <c r="T169" s="42"/>
      <c r="U169" s="42"/>
      <c r="V169" s="41"/>
      <c r="W169" s="42"/>
      <c r="X169" s="42"/>
      <c r="Y169" s="42"/>
      <c r="Z169" s="42"/>
      <c r="AA169" s="42"/>
      <c r="AB169" s="19"/>
      <c r="AC169" s="94"/>
      <c r="AE169" s="148"/>
      <c r="AG169" s="148"/>
      <c r="AI169" s="148"/>
      <c r="AK169" s="148"/>
      <c r="AM169" s="148"/>
      <c r="AO169" s="148"/>
      <c r="AQ169" s="148"/>
      <c r="AS169" s="148"/>
      <c r="AU169" s="148"/>
      <c r="AW169" s="148"/>
      <c r="AY169" s="148"/>
      <c r="BA169" s="148"/>
      <c r="BC169" s="148"/>
      <c r="BE169" s="148"/>
      <c r="BG169" s="148"/>
      <c r="BI169" s="148"/>
      <c r="BK169" s="148"/>
      <c r="BM169" s="148"/>
      <c r="BO169" s="148"/>
      <c r="BQ169" s="148"/>
      <c r="BS169" s="148"/>
      <c r="BU169" s="148"/>
      <c r="BW169" s="148"/>
      <c r="BY169" s="148"/>
      <c r="CA169" s="148"/>
      <c r="CC169" s="148"/>
      <c r="CE169" s="148"/>
      <c r="CG169" s="148"/>
      <c r="CI169" s="148"/>
      <c r="CK169" s="148"/>
      <c r="CM169" s="148"/>
      <c r="CO169" s="148"/>
      <c r="CQ169" s="148"/>
      <c r="CS169" s="148"/>
      <c r="CU169" s="148"/>
      <c r="CW169" s="148"/>
      <c r="CY169" s="148"/>
      <c r="DA169" s="148"/>
      <c r="DC169" s="148"/>
      <c r="DE169" s="148"/>
      <c r="DG169" s="148"/>
      <c r="DI169" s="148"/>
      <c r="DK169" s="148"/>
      <c r="DM169" s="148"/>
      <c r="DO169" s="148"/>
      <c r="DQ169" s="148"/>
      <c r="DS169" s="148"/>
    </row>
    <row r="170" spans="1:123" ht="13" x14ac:dyDescent="0.3">
      <c r="B170" s="103">
        <f>IF(AND('AES Indiana Bill Calc.'!$D$17="SS",'AES Indiana Bill Calc.'!$D$18="Yes 50%",'AES Indiana Bill Calc.'!$D$20="Yes 2023"),'AES Indiana Bill Calc.'!$D$19,-1)</f>
        <v>-1</v>
      </c>
      <c r="C170" s="1" t="s">
        <v>149</v>
      </c>
      <c r="D170" s="148"/>
      <c r="F170" s="36" t="s">
        <v>171</v>
      </c>
      <c r="G170" s="42">
        <f>SUM(J170:M170,O170:P170,R170:AA170)</f>
        <v>39.89</v>
      </c>
      <c r="H170" s="19" t="e">
        <f>IF(ISBLANK(B170),0,+#REF!/B170)</f>
        <v>#REF!</v>
      </c>
      <c r="I170" s="148"/>
      <c r="J170" s="82">
        <f>IF(ISBLANK(B170),0,IF(B170&gt;J$94,+J$93,+F$93))</f>
        <v>40</v>
      </c>
      <c r="K170" s="82">
        <f>IF($B170&gt;K$94,ROUND(K$94*K$93,2),ROUND($B170*K$93,2))</f>
        <v>-0.12</v>
      </c>
      <c r="L170" s="82">
        <f>IF($B170&gt;K$94,ROUND(($B170-K$94)*L$93,2),0)</f>
        <v>0</v>
      </c>
      <c r="M170" s="148"/>
      <c r="N170" s="42">
        <f>SUM(K170:L170)</f>
        <v>-0.12</v>
      </c>
      <c r="O170" s="148"/>
      <c r="P170" s="148"/>
      <c r="Q170" s="148"/>
      <c r="S170" s="42">
        <f>ROUND($B170*S$93*S169,2)</f>
        <v>0</v>
      </c>
      <c r="T170" s="42">
        <f>ROUND($B170*T$93,2)</f>
        <v>0.01</v>
      </c>
      <c r="U170" s="42">
        <f>ROUND($B170*U$93,2)</f>
        <v>0</v>
      </c>
      <c r="V170" s="41">
        <f>ROUND($B170*V$91,2)</f>
        <v>0</v>
      </c>
      <c r="W170" s="148"/>
      <c r="X170" s="42">
        <f>ROUND($B170*X$93,2)</f>
        <v>0</v>
      </c>
      <c r="Y170" s="42">
        <f>ROUND($B170*Y$93,2)</f>
        <v>0</v>
      </c>
      <c r="Z170" s="42">
        <f>ROUND($B170*Z$93,2)</f>
        <v>0</v>
      </c>
      <c r="AA170" s="42">
        <f>ROUND($B170*AA$93,2)</f>
        <v>0</v>
      </c>
      <c r="AB170" s="19">
        <f>SUM(U$93:AA$93)+(-V$93+V132)</f>
        <v>3.4420000000000006E-3</v>
      </c>
      <c r="AC170" s="148"/>
      <c r="AE170" s="148"/>
      <c r="AG170" s="148"/>
      <c r="AI170" s="148"/>
      <c r="AK170" s="148"/>
      <c r="AM170" s="148"/>
      <c r="AO170" s="148"/>
      <c r="AQ170" s="148"/>
      <c r="AS170" s="148"/>
      <c r="AU170" s="148"/>
      <c r="AW170" s="148"/>
      <c r="AY170" s="148"/>
      <c r="BA170" s="148"/>
      <c r="BC170" s="148"/>
      <c r="BE170" s="148"/>
      <c r="BG170" s="148"/>
      <c r="BI170" s="148"/>
      <c r="BK170" s="148"/>
      <c r="BM170" s="148"/>
      <c r="BO170" s="148"/>
      <c r="BQ170" s="148"/>
      <c r="BS170" s="148"/>
      <c r="BU170" s="148"/>
      <c r="BW170" s="148"/>
      <c r="BY170" s="148"/>
      <c r="CA170" s="148"/>
      <c r="CC170" s="148"/>
      <c r="CE170" s="148"/>
      <c r="CG170" s="148"/>
      <c r="CI170" s="148"/>
      <c r="CK170" s="148"/>
      <c r="CM170" s="148"/>
      <c r="CO170" s="148"/>
      <c r="CQ170" s="148"/>
      <c r="CS170" s="148"/>
      <c r="CU170" s="148"/>
      <c r="CW170" s="148"/>
      <c r="CY170" s="148"/>
      <c r="DA170" s="148"/>
      <c r="DC170" s="148"/>
      <c r="DE170" s="148"/>
      <c r="DG170" s="148"/>
      <c r="DI170" s="148"/>
      <c r="DK170" s="148"/>
      <c r="DM170" s="148"/>
      <c r="DO170" s="148"/>
      <c r="DQ170" s="148"/>
      <c r="DS170" s="148"/>
    </row>
    <row r="171" spans="1:123" ht="13" x14ac:dyDescent="0.3">
      <c r="B171" s="97">
        <v>-1</v>
      </c>
      <c r="C171" s="9"/>
      <c r="F171" s="36"/>
      <c r="G171" s="42"/>
      <c r="H171" s="19"/>
      <c r="I171" s="19"/>
      <c r="J171" s="82"/>
      <c r="K171" s="82"/>
      <c r="L171" s="82"/>
      <c r="M171" s="41"/>
      <c r="N171" s="41"/>
      <c r="O171" s="41"/>
      <c r="P171" s="41"/>
      <c r="Q171" s="41"/>
      <c r="R171" s="41"/>
      <c r="S171" s="50">
        <v>0.25</v>
      </c>
      <c r="T171" s="42"/>
      <c r="U171" s="42"/>
      <c r="V171" s="41"/>
      <c r="W171" s="42"/>
      <c r="X171" s="42"/>
      <c r="Y171" s="42"/>
      <c r="Z171" s="42"/>
      <c r="AA171" s="42"/>
      <c r="AB171" s="19"/>
      <c r="AC171" s="94"/>
      <c r="AE171" s="148"/>
      <c r="AG171" s="148"/>
      <c r="AI171" s="148"/>
      <c r="AK171" s="148"/>
      <c r="AM171" s="148"/>
      <c r="AO171" s="148"/>
      <c r="AQ171" s="148"/>
      <c r="AS171" s="148"/>
      <c r="AU171" s="148"/>
      <c r="AW171" s="148"/>
      <c r="AY171" s="148"/>
      <c r="BA171" s="148"/>
      <c r="BC171" s="148"/>
      <c r="BE171" s="148"/>
      <c r="BG171" s="148"/>
      <c r="BI171" s="148"/>
      <c r="BK171" s="148"/>
      <c r="BM171" s="148"/>
      <c r="BO171" s="148"/>
      <c r="BQ171" s="148"/>
      <c r="BS171" s="148"/>
      <c r="BU171" s="148"/>
      <c r="BW171" s="148"/>
      <c r="BY171" s="148"/>
      <c r="CA171" s="148"/>
      <c r="CC171" s="148"/>
      <c r="CE171" s="148"/>
      <c r="CG171" s="148"/>
      <c r="CI171" s="148"/>
      <c r="CK171" s="148"/>
      <c r="CM171" s="148"/>
      <c r="CO171" s="148"/>
      <c r="CQ171" s="148"/>
      <c r="CS171" s="148"/>
      <c r="CU171" s="148"/>
      <c r="CW171" s="148"/>
      <c r="CY171" s="148"/>
      <c r="DA171" s="148"/>
      <c r="DC171" s="148"/>
      <c r="DE171" s="148"/>
      <c r="DG171" s="148"/>
      <c r="DI171" s="148"/>
      <c r="DK171" s="148"/>
      <c r="DM171" s="148"/>
      <c r="DO171" s="148"/>
      <c r="DQ171" s="148"/>
      <c r="DS171" s="148"/>
    </row>
    <row r="172" spans="1:123" ht="13" x14ac:dyDescent="0.3">
      <c r="B172" s="103">
        <f>IF(AND('AES Indiana Bill Calc.'!$D$17="SS",'AES Indiana Bill Calc.'!$D$18="Yes 25%",'AES Indiana Bill Calc.'!$D$20="Yes 2023"),'AES Indiana Bill Calc.'!$D$19,-1)</f>
        <v>-1</v>
      </c>
      <c r="C172" s="1" t="s">
        <v>150</v>
      </c>
      <c r="D172" s="148"/>
      <c r="F172" s="36" t="s">
        <v>171</v>
      </c>
      <c r="G172" s="42">
        <f>SUM(J172:M172,O172:P172,R172:AA172)</f>
        <v>39.89</v>
      </c>
      <c r="H172" s="19" t="e">
        <f>IF(ISBLANK(B172),0,+#REF!/B172)</f>
        <v>#REF!</v>
      </c>
      <c r="I172" s="148"/>
      <c r="J172" s="82">
        <f>IF(ISBLANK(B172),0,IF(B172&gt;J$94,+J$93,+F$93))</f>
        <v>40</v>
      </c>
      <c r="K172" s="82">
        <f>IF($B172&gt;K$94,ROUND(K$94*K$93,2),ROUND($B172*K$93,2))</f>
        <v>-0.12</v>
      </c>
      <c r="L172" s="82">
        <f>IF($B172&gt;K$94,ROUND(($B172-K$94)*L$93,2),0)</f>
        <v>0</v>
      </c>
      <c r="M172" s="148"/>
      <c r="N172" s="42">
        <f>SUM(K172:L172)</f>
        <v>-0.12</v>
      </c>
      <c r="O172" s="148"/>
      <c r="P172" s="148"/>
      <c r="Q172" s="148"/>
      <c r="S172" s="42">
        <f>ROUND($B172*S$93*S171,2)</f>
        <v>0</v>
      </c>
      <c r="T172" s="42">
        <f>ROUND($B172*T$93,2)</f>
        <v>0.01</v>
      </c>
      <c r="U172" s="42">
        <f>ROUND($B172*U$93,2)</f>
        <v>0</v>
      </c>
      <c r="V172" s="41">
        <f>ROUND($B172*V$91,2)</f>
        <v>0</v>
      </c>
      <c r="W172" s="148"/>
      <c r="X172" s="42">
        <f>ROUND($B172*X$93,2)</f>
        <v>0</v>
      </c>
      <c r="Y172" s="42">
        <f>ROUND($B172*Y$93,2)</f>
        <v>0</v>
      </c>
      <c r="Z172" s="42">
        <f>ROUND($B172*Z$93,2)</f>
        <v>0</v>
      </c>
      <c r="AA172" s="42">
        <f>ROUND($B172*AA$93,2)</f>
        <v>0</v>
      </c>
      <c r="AB172" s="19">
        <f>SUM(U$93:AA$93)+(-V$93+V134)</f>
        <v>3.4420000000000006E-3</v>
      </c>
      <c r="AC172" s="148"/>
      <c r="AE172" s="148"/>
      <c r="AG172" s="148"/>
      <c r="AI172" s="148"/>
      <c r="AK172" s="148"/>
      <c r="AM172" s="148"/>
      <c r="AO172" s="148"/>
      <c r="AQ172" s="148"/>
      <c r="AS172" s="148"/>
      <c r="AU172" s="148"/>
      <c r="AW172" s="148"/>
      <c r="AY172" s="148"/>
      <c r="BA172" s="148"/>
      <c r="BC172" s="148"/>
      <c r="BE172" s="148"/>
      <c r="BG172" s="148"/>
      <c r="BI172" s="148"/>
      <c r="BK172" s="148"/>
      <c r="BM172" s="148"/>
      <c r="BO172" s="148"/>
      <c r="BQ172" s="148"/>
      <c r="BS172" s="148"/>
      <c r="BU172" s="148"/>
      <c r="BW172" s="148"/>
      <c r="BY172" s="148"/>
      <c r="CA172" s="148"/>
      <c r="CC172" s="148"/>
      <c r="CE172" s="148"/>
      <c r="CG172" s="148"/>
      <c r="CI172" s="148"/>
      <c r="CK172" s="148"/>
      <c r="CM172" s="148"/>
      <c r="CO172" s="148"/>
      <c r="CQ172" s="148"/>
      <c r="CS172" s="148"/>
      <c r="CU172" s="148"/>
      <c r="CW172" s="148"/>
      <c r="CY172" s="148"/>
      <c r="DA172" s="148"/>
      <c r="DC172" s="148"/>
      <c r="DE172" s="148"/>
      <c r="DG172" s="148"/>
      <c r="DI172" s="148"/>
      <c r="DK172" s="148"/>
      <c r="DM172" s="148"/>
      <c r="DO172" s="148"/>
      <c r="DQ172" s="148"/>
      <c r="DS172" s="148"/>
    </row>
    <row r="173" spans="1:123" ht="13" x14ac:dyDescent="0.3">
      <c r="B173" s="97">
        <v>-1</v>
      </c>
      <c r="C173" s="9"/>
      <c r="F173" s="36"/>
      <c r="G173" s="42"/>
      <c r="H173" s="19"/>
      <c r="I173" s="19"/>
      <c r="J173" s="82"/>
      <c r="K173" s="82"/>
      <c r="L173" s="82"/>
      <c r="M173" s="41"/>
      <c r="N173" s="41"/>
      <c r="O173" s="41"/>
      <c r="P173" s="41"/>
      <c r="Q173" s="41"/>
      <c r="R173" s="41"/>
      <c r="S173" s="50">
        <v>0.1</v>
      </c>
      <c r="T173" s="42"/>
      <c r="U173" s="42"/>
      <c r="V173" s="41"/>
      <c r="W173" s="42"/>
      <c r="X173" s="42"/>
      <c r="Y173" s="42"/>
      <c r="Z173" s="42"/>
      <c r="AA173" s="42"/>
      <c r="AB173" s="19"/>
      <c r="AC173" s="94"/>
      <c r="AE173" s="148"/>
      <c r="AG173" s="148"/>
      <c r="AI173" s="148"/>
      <c r="AK173" s="148"/>
      <c r="AM173" s="148"/>
      <c r="AO173" s="148"/>
      <c r="AQ173" s="148"/>
      <c r="AS173" s="148"/>
      <c r="AU173" s="148"/>
      <c r="AW173" s="148"/>
      <c r="AY173" s="148"/>
      <c r="BA173" s="148"/>
      <c r="BC173" s="148"/>
      <c r="BE173" s="148"/>
      <c r="BG173" s="148"/>
      <c r="BI173" s="148"/>
      <c r="BK173" s="148"/>
      <c r="BM173" s="148"/>
      <c r="BO173" s="148"/>
      <c r="BQ173" s="148"/>
      <c r="BS173" s="148"/>
      <c r="BU173" s="148"/>
      <c r="BW173" s="148"/>
      <c r="BY173" s="148"/>
      <c r="CA173" s="148"/>
      <c r="CC173" s="148"/>
      <c r="CE173" s="148"/>
      <c r="CG173" s="148"/>
      <c r="CI173" s="148"/>
      <c r="CK173" s="148"/>
      <c r="CM173" s="148"/>
      <c r="CO173" s="148"/>
      <c r="CQ173" s="148"/>
      <c r="CS173" s="148"/>
      <c r="CU173" s="148"/>
      <c r="CW173" s="148"/>
      <c r="CY173" s="148"/>
      <c r="DA173" s="148"/>
      <c r="DC173" s="148"/>
      <c r="DE173" s="148"/>
      <c r="DG173" s="148"/>
      <c r="DI173" s="148"/>
      <c r="DK173" s="148"/>
      <c r="DM173" s="148"/>
      <c r="DO173" s="148"/>
      <c r="DQ173" s="148"/>
      <c r="DS173" s="148"/>
    </row>
    <row r="174" spans="1:123" ht="13" x14ac:dyDescent="0.3">
      <c r="B174" s="103">
        <f>IF(AND('AES Indiana Bill Calc.'!$D$17="SS",'AES Indiana Bill Calc.'!$D$18="Yes 10%",'AES Indiana Bill Calc.'!$D$20="Yes 2023"),'AES Indiana Bill Calc.'!$D$19,-1)</f>
        <v>-1</v>
      </c>
      <c r="C174" s="1" t="s">
        <v>164</v>
      </c>
      <c r="D174" s="148"/>
      <c r="F174" s="36" t="s">
        <v>171</v>
      </c>
      <c r="G174" s="42">
        <f>SUM(J174:M174,O174:P174,R174:AA174)</f>
        <v>39.89</v>
      </c>
      <c r="H174" s="19" t="e">
        <f>IF(ISBLANK(B174),0,+#REF!/B174)</f>
        <v>#REF!</v>
      </c>
      <c r="I174" s="148"/>
      <c r="J174" s="82">
        <f>IF(ISBLANK(B174),0,IF(B174&gt;J$94,+J$93,+F$93))</f>
        <v>40</v>
      </c>
      <c r="K174" s="82">
        <f>IF($B174&gt;K$94,ROUND(K$94*K$93,2),ROUND($B174*K$93,2))</f>
        <v>-0.12</v>
      </c>
      <c r="L174" s="82">
        <f>IF($B174&gt;K$94,ROUND(($B174-K$94)*L$93,2),0)</f>
        <v>0</v>
      </c>
      <c r="M174" s="148"/>
      <c r="N174" s="42">
        <f>SUM(K174:L174)</f>
        <v>-0.12</v>
      </c>
      <c r="O174" s="148"/>
      <c r="P174" s="148"/>
      <c r="Q174" s="148"/>
      <c r="S174" s="42">
        <f>ROUND($B174*S$93*S173,2)</f>
        <v>0</v>
      </c>
      <c r="T174" s="42">
        <f>ROUND($B174*T$93,2)</f>
        <v>0.01</v>
      </c>
      <c r="U174" s="42">
        <f>ROUND($B174*U$93,2)</f>
        <v>0</v>
      </c>
      <c r="V174" s="41">
        <f>ROUND($B174*V$91,2)</f>
        <v>0</v>
      </c>
      <c r="W174" s="148"/>
      <c r="X174" s="42">
        <f>ROUND($B174*X$93,2)</f>
        <v>0</v>
      </c>
      <c r="Y174" s="42">
        <f>ROUND($B174*Y$93,2)</f>
        <v>0</v>
      </c>
      <c r="Z174" s="42">
        <f>ROUND($B174*Z$93,2)</f>
        <v>0</v>
      </c>
      <c r="AA174" s="42">
        <f>ROUND($B174*AA$93,2)</f>
        <v>0</v>
      </c>
      <c r="AB174" s="19">
        <f>SUM(U$93:AA$93)+(-V$93+V136)</f>
        <v>3.4420000000000006E-3</v>
      </c>
      <c r="AC174" s="148"/>
      <c r="AE174" s="148"/>
      <c r="AG174" s="148"/>
      <c r="AI174" s="148"/>
      <c r="AK174" s="148"/>
      <c r="AM174" s="148"/>
      <c r="AO174" s="148"/>
      <c r="AQ174" s="148"/>
      <c r="AS174" s="148"/>
      <c r="AU174" s="148"/>
      <c r="AW174" s="148"/>
      <c r="AY174" s="148"/>
      <c r="BA174" s="148"/>
      <c r="BC174" s="148"/>
      <c r="BE174" s="148"/>
      <c r="BG174" s="148"/>
      <c r="BI174" s="148"/>
      <c r="BK174" s="148"/>
      <c r="BM174" s="148"/>
      <c r="BO174" s="148"/>
      <c r="BQ174" s="148"/>
      <c r="BS174" s="148"/>
      <c r="BU174" s="148"/>
      <c r="BW174" s="148"/>
      <c r="BY174" s="148"/>
      <c r="CA174" s="148"/>
      <c r="CC174" s="148"/>
      <c r="CE174" s="148"/>
      <c r="CG174" s="148"/>
      <c r="CI174" s="148"/>
      <c r="CK174" s="148"/>
      <c r="CM174" s="148"/>
      <c r="CO174" s="148"/>
      <c r="CQ174" s="148"/>
      <c r="CS174" s="148"/>
      <c r="CU174" s="148"/>
      <c r="CW174" s="148"/>
      <c r="CY174" s="148"/>
      <c r="DA174" s="148"/>
      <c r="DC174" s="148"/>
      <c r="DE174" s="148"/>
      <c r="DG174" s="148"/>
      <c r="DI174" s="148"/>
      <c r="DK174" s="148"/>
      <c r="DM174" s="148"/>
      <c r="DO174" s="148"/>
      <c r="DQ174" s="148"/>
      <c r="DS174" s="148"/>
    </row>
    <row r="175" spans="1:123" ht="13" x14ac:dyDescent="0.3">
      <c r="B175" s="97">
        <v>-1</v>
      </c>
      <c r="F175" s="36"/>
      <c r="G175" s="42"/>
      <c r="H175" s="19"/>
      <c r="I175" s="19"/>
      <c r="J175" s="82"/>
      <c r="K175" s="82"/>
      <c r="L175" s="82"/>
      <c r="M175" s="41"/>
      <c r="N175" s="41"/>
      <c r="O175" s="41"/>
      <c r="P175" s="41"/>
      <c r="Q175" s="41"/>
      <c r="R175" s="41"/>
      <c r="S175" s="50">
        <v>0</v>
      </c>
      <c r="T175" s="42"/>
      <c r="U175" s="42"/>
      <c r="V175" s="41"/>
      <c r="W175" s="42"/>
      <c r="X175" s="42"/>
      <c r="Y175" s="42"/>
      <c r="Z175" s="42"/>
      <c r="AA175" s="42"/>
      <c r="AB175" s="19"/>
      <c r="AC175" s="94"/>
      <c r="AE175" s="148"/>
      <c r="AG175" s="148"/>
      <c r="AI175" s="148"/>
      <c r="AK175" s="148"/>
      <c r="AM175" s="148"/>
      <c r="AO175" s="148"/>
      <c r="AQ175" s="148"/>
      <c r="AS175" s="148"/>
      <c r="AU175" s="148"/>
      <c r="AW175" s="148"/>
      <c r="AY175" s="148"/>
      <c r="BA175" s="148"/>
      <c r="BC175" s="148"/>
      <c r="BE175" s="148"/>
      <c r="BG175" s="148"/>
      <c r="BI175" s="148"/>
      <c r="BK175" s="148"/>
      <c r="BM175" s="148"/>
      <c r="BO175" s="148"/>
      <c r="BQ175" s="148"/>
      <c r="BS175" s="148"/>
      <c r="BU175" s="148"/>
      <c r="BW175" s="148"/>
      <c r="BY175" s="148"/>
      <c r="CA175" s="148"/>
      <c r="CC175" s="148"/>
      <c r="CE175" s="148"/>
      <c r="CG175" s="148"/>
      <c r="CI175" s="148"/>
      <c r="CK175" s="148"/>
      <c r="CM175" s="148"/>
      <c r="CO175" s="148"/>
      <c r="CQ175" s="148"/>
      <c r="CS175" s="148"/>
      <c r="CU175" s="148"/>
      <c r="CW175" s="148"/>
      <c r="CY175" s="148"/>
      <c r="DA175" s="148"/>
      <c r="DC175" s="148"/>
      <c r="DE175" s="148"/>
      <c r="DG175" s="148"/>
      <c r="DI175" s="148"/>
      <c r="DK175" s="148"/>
      <c r="DM175" s="148"/>
      <c r="DO175" s="148"/>
      <c r="DQ175" s="148"/>
      <c r="DS175" s="148"/>
    </row>
    <row r="176" spans="1:123" ht="13.5" thickBot="1" x14ac:dyDescent="0.35">
      <c r="A176" s="21"/>
      <c r="B176" s="106">
        <f>IF(AND('AES Indiana Bill Calc.'!$D$17="SS",'AES Indiana Bill Calc.'!$D$18="No",'AES Indiana Bill Calc.'!$D$20="Yes 2023"),'AES Indiana Bill Calc.'!$D$19,-1)</f>
        <v>-1</v>
      </c>
      <c r="C176" s="150" t="s">
        <v>147</v>
      </c>
      <c r="D176" s="125"/>
      <c r="E176" s="21"/>
      <c r="F176" s="79" t="s">
        <v>171</v>
      </c>
      <c r="G176" s="23">
        <f>SUM(J176:M176,O176:P176,R176:AA176)</f>
        <v>39.89</v>
      </c>
      <c r="H176" s="25" t="e">
        <f>IF(ISBLANK(B176),0,+#REF!/B176)</f>
        <v>#REF!</v>
      </c>
      <c r="I176" s="125"/>
      <c r="J176" s="22">
        <f>IF(ISBLANK(B176),0,IF(B176&gt;J$94,+J$93,+F$93))</f>
        <v>40</v>
      </c>
      <c r="K176" s="22">
        <f>IF($B176&gt;K$94,ROUND(K$94*K$93,2),ROUND($B176*K$93,2))</f>
        <v>-0.12</v>
      </c>
      <c r="L176" s="22">
        <f>IF($B176&gt;K$94,ROUND(($B176-K$94)*L$93,2),0)</f>
        <v>0</v>
      </c>
      <c r="M176" s="125"/>
      <c r="N176" s="23">
        <f>SUM(K176:L176)</f>
        <v>-0.12</v>
      </c>
      <c r="O176" s="125"/>
      <c r="P176" s="125"/>
      <c r="Q176" s="125"/>
      <c r="R176" s="21"/>
      <c r="S176" s="23">
        <f>ROUND($B176*S$93*S175,2)</f>
        <v>0</v>
      </c>
      <c r="T176" s="23">
        <f>ROUND($B176*T$93,2)</f>
        <v>0.01</v>
      </c>
      <c r="U176" s="23">
        <f>ROUND($B176*U$93,2)</f>
        <v>0</v>
      </c>
      <c r="V176" s="24">
        <f>ROUND($B176*V$91,2)</f>
        <v>0</v>
      </c>
      <c r="W176" s="125"/>
      <c r="X176" s="23">
        <f>ROUND($B176*X$93,2)</f>
        <v>0</v>
      </c>
      <c r="Y176" s="23">
        <f>ROUND($B176*Y$93,2)</f>
        <v>0</v>
      </c>
      <c r="Z176" s="23">
        <f>ROUND($B176*Z$93,2)</f>
        <v>0</v>
      </c>
      <c r="AA176" s="23">
        <f>ROUND($B176*AA$93,2)</f>
        <v>0</v>
      </c>
      <c r="AB176" s="25">
        <f>SUM(U$93:AA$93)+(-V$93+V138)</f>
        <v>3.4420000000000006E-3</v>
      </c>
      <c r="AC176" s="125"/>
      <c r="AE176" s="148"/>
      <c r="AG176" s="148"/>
      <c r="AI176" s="148"/>
      <c r="AK176" s="148"/>
      <c r="AM176" s="148"/>
      <c r="AO176" s="148"/>
      <c r="AQ176" s="148"/>
      <c r="AS176" s="148"/>
      <c r="AU176" s="148"/>
      <c r="AW176" s="148"/>
      <c r="AY176" s="148"/>
      <c r="BA176" s="148"/>
      <c r="BC176" s="148"/>
      <c r="BE176" s="148"/>
      <c r="BG176" s="148"/>
      <c r="BI176" s="148"/>
      <c r="BK176" s="148"/>
      <c r="BM176" s="148"/>
      <c r="BO176" s="148"/>
      <c r="BQ176" s="148"/>
      <c r="BS176" s="148"/>
      <c r="BU176" s="148"/>
      <c r="BW176" s="148"/>
      <c r="BY176" s="148"/>
      <c r="CA176" s="148"/>
      <c r="CC176" s="148"/>
      <c r="CE176" s="148"/>
      <c r="CG176" s="148"/>
      <c r="CI176" s="148"/>
      <c r="CK176" s="148"/>
      <c r="CM176" s="148"/>
      <c r="CO176" s="148"/>
      <c r="CQ176" s="148"/>
      <c r="CS176" s="148"/>
      <c r="CU176" s="148"/>
      <c r="CW176" s="148"/>
      <c r="CY176" s="148"/>
      <c r="DA176" s="148"/>
      <c r="DC176" s="148"/>
      <c r="DE176" s="148"/>
      <c r="DG176" s="148"/>
      <c r="DI176" s="148"/>
      <c r="DK176" s="148"/>
      <c r="DM176" s="148"/>
      <c r="DO176" s="148"/>
      <c r="DQ176" s="148"/>
      <c r="DS176" s="148"/>
    </row>
    <row r="177" spans="1:123" ht="13" x14ac:dyDescent="0.3">
      <c r="B177" s="97">
        <v>-1</v>
      </c>
      <c r="C177" s="149"/>
      <c r="D177" s="148"/>
      <c r="F177" s="36"/>
      <c r="G177" s="42"/>
      <c r="H177" s="19"/>
      <c r="I177" s="148"/>
      <c r="J177" s="82"/>
      <c r="K177" s="82"/>
      <c r="L177" s="82"/>
      <c r="M177" s="148"/>
      <c r="N177" s="42"/>
      <c r="O177" s="148"/>
      <c r="P177" s="148"/>
      <c r="Q177" s="148"/>
      <c r="S177" s="50">
        <v>1</v>
      </c>
      <c r="T177" s="42"/>
      <c r="U177" s="42"/>
      <c r="V177" s="41"/>
      <c r="W177" s="148"/>
      <c r="X177" s="42"/>
      <c r="Y177" s="42"/>
      <c r="Z177" s="42"/>
      <c r="AA177" s="42"/>
      <c r="AB177" s="19"/>
      <c r="AC177" s="148"/>
      <c r="AE177" s="148"/>
      <c r="AG177" s="148"/>
      <c r="AI177" s="148"/>
      <c r="AK177" s="148"/>
      <c r="AM177" s="148"/>
      <c r="AO177" s="148"/>
      <c r="AQ177" s="148"/>
      <c r="AS177" s="148"/>
      <c r="AU177" s="148"/>
      <c r="AW177" s="148"/>
      <c r="AY177" s="148"/>
      <c r="BA177" s="148"/>
      <c r="BC177" s="148"/>
      <c r="BE177" s="148"/>
      <c r="BG177" s="148"/>
      <c r="BI177" s="148"/>
      <c r="BK177" s="148"/>
      <c r="BM177" s="148"/>
      <c r="BO177" s="148"/>
      <c r="BQ177" s="148"/>
      <c r="BS177" s="148"/>
      <c r="BU177" s="148"/>
      <c r="BW177" s="148"/>
      <c r="BY177" s="148"/>
      <c r="CA177" s="148"/>
      <c r="CC177" s="148"/>
      <c r="CE177" s="148"/>
      <c r="CG177" s="148"/>
      <c r="CI177" s="148"/>
      <c r="CK177" s="148"/>
      <c r="CM177" s="148"/>
      <c r="CO177" s="148"/>
      <c r="CQ177" s="148"/>
      <c r="CS177" s="148"/>
      <c r="CU177" s="148"/>
      <c r="CW177" s="148"/>
      <c r="CY177" s="148"/>
      <c r="DA177" s="148"/>
      <c r="DC177" s="148"/>
      <c r="DE177" s="148"/>
      <c r="DG177" s="148"/>
      <c r="DI177" s="148"/>
      <c r="DK177" s="148"/>
      <c r="DM177" s="148"/>
      <c r="DO177" s="148"/>
      <c r="DQ177" s="148"/>
      <c r="DS177" s="148"/>
    </row>
    <row r="178" spans="1:123" ht="13" x14ac:dyDescent="0.3">
      <c r="B178" s="97">
        <f>IF(AND('AES Indiana Bill Calc.'!$D$17="SS",'AES Indiana Bill Calc.'!$D$18="Yes 100%",'AES Indiana Bill Calc.'!$D$20="Yes 2024"),'AES Indiana Bill Calc.'!$D$19,-1)</f>
        <v>-1</v>
      </c>
      <c r="C178" s="149" t="s">
        <v>148</v>
      </c>
      <c r="D178" s="148"/>
      <c r="F178" s="36" t="s">
        <v>309</v>
      </c>
      <c r="G178" s="42">
        <f>SUM(J178:M178,O178:P178,R178:AA178)</f>
        <v>39.89</v>
      </c>
      <c r="H178" s="19" t="e">
        <f>IF(ISBLANK(B178),0,+#REF!/B178)</f>
        <v>#REF!</v>
      </c>
      <c r="I178" s="148"/>
      <c r="J178" s="82">
        <f>IF(ISBLANK(B178),0,IF(B178&gt;J$94,+J$93,+F$93))</f>
        <v>40</v>
      </c>
      <c r="K178" s="82">
        <f>IF($B178&gt;K$94,ROUND(K$94*K$93,2),ROUND($B178*K$93,2))</f>
        <v>-0.12</v>
      </c>
      <c r="L178" s="82">
        <f>IF($B178&gt;K$94,ROUND(($B178-K$94)*L$93,2),0)</f>
        <v>0</v>
      </c>
      <c r="M178" s="148"/>
      <c r="N178" s="42">
        <f>SUM(K178:L178)</f>
        <v>-0.12</v>
      </c>
      <c r="O178" s="148"/>
      <c r="P178" s="148"/>
      <c r="Q178" s="148"/>
      <c r="S178" s="42">
        <f>ROUND($B178*S$93*S177,2)</f>
        <v>0</v>
      </c>
      <c r="T178" s="42">
        <f>ROUND($B178*T$93,2)</f>
        <v>0.01</v>
      </c>
      <c r="U178" s="42">
        <f>ROUND($B178*U$93,2)</f>
        <v>0</v>
      </c>
      <c r="V178" s="41">
        <f>ROUND($B178*V$92,2)</f>
        <v>0</v>
      </c>
      <c r="W178" s="148"/>
      <c r="X178" s="42">
        <f>ROUND($B178*X$93,2)</f>
        <v>0</v>
      </c>
      <c r="Y178" s="42">
        <f>ROUND($B178*Y$93,2)</f>
        <v>0</v>
      </c>
      <c r="Z178" s="42">
        <f>ROUND($B178*Z$93,2)</f>
        <v>0</v>
      </c>
      <c r="AA178" s="42">
        <f>ROUND($B178*AA$93,2)</f>
        <v>0</v>
      </c>
      <c r="AB178" s="19">
        <f>SUM(U$93:AA$93)+(-V$93+V140)</f>
        <v>3.4420000000000006E-3</v>
      </c>
      <c r="AC178" s="148"/>
      <c r="AE178" s="148"/>
      <c r="AG178" s="148"/>
      <c r="AI178" s="148"/>
      <c r="AK178" s="148"/>
      <c r="AM178" s="148"/>
      <c r="AO178" s="148"/>
      <c r="AQ178" s="148"/>
      <c r="AS178" s="148"/>
      <c r="AU178" s="148"/>
      <c r="AW178" s="148"/>
      <c r="AY178" s="148"/>
      <c r="BA178" s="148"/>
      <c r="BC178" s="148"/>
      <c r="BE178" s="148"/>
      <c r="BG178" s="148"/>
      <c r="BI178" s="148"/>
      <c r="BK178" s="148"/>
      <c r="BM178" s="148"/>
      <c r="BO178" s="148"/>
      <c r="BQ178" s="148"/>
      <c r="BS178" s="148"/>
      <c r="BU178" s="148"/>
      <c r="BW178" s="148"/>
      <c r="BY178" s="148"/>
      <c r="CA178" s="148"/>
      <c r="CC178" s="148"/>
      <c r="CE178" s="148"/>
      <c r="CG178" s="148"/>
      <c r="CI178" s="148"/>
      <c r="CK178" s="148"/>
      <c r="CM178" s="148"/>
      <c r="CO178" s="148"/>
      <c r="CQ178" s="148"/>
      <c r="CS178" s="148"/>
      <c r="CU178" s="148"/>
      <c r="CW178" s="148"/>
      <c r="CY178" s="148"/>
      <c r="DA178" s="148"/>
      <c r="DC178" s="148"/>
      <c r="DE178" s="148"/>
      <c r="DG178" s="148"/>
      <c r="DI178" s="148"/>
      <c r="DK178" s="148"/>
      <c r="DM178" s="148"/>
      <c r="DO178" s="148"/>
      <c r="DQ178" s="148"/>
      <c r="DS178" s="148"/>
    </row>
    <row r="179" spans="1:123" ht="13" x14ac:dyDescent="0.3">
      <c r="B179" s="97">
        <v>-1</v>
      </c>
      <c r="C179" s="9"/>
      <c r="F179" s="36"/>
      <c r="G179" s="42"/>
      <c r="H179" s="19"/>
      <c r="I179" s="19"/>
      <c r="J179" s="82"/>
      <c r="K179" s="82"/>
      <c r="L179" s="82"/>
      <c r="M179" s="41"/>
      <c r="N179" s="41"/>
      <c r="O179" s="41"/>
      <c r="P179" s="41"/>
      <c r="Q179" s="41"/>
      <c r="R179" s="41"/>
      <c r="S179" s="50">
        <v>0.5</v>
      </c>
      <c r="T179" s="42"/>
      <c r="U179" s="42"/>
      <c r="V179" s="41"/>
      <c r="W179" s="42"/>
      <c r="X179" s="42"/>
      <c r="Y179" s="42"/>
      <c r="Z179" s="42"/>
      <c r="AA179" s="42"/>
      <c r="AB179" s="19"/>
      <c r="AC179" s="94"/>
      <c r="AE179" s="148"/>
      <c r="AG179" s="148"/>
      <c r="AI179" s="148"/>
      <c r="AK179" s="148"/>
      <c r="AM179" s="148"/>
      <c r="AO179" s="148"/>
      <c r="AQ179" s="148"/>
      <c r="AS179" s="148"/>
      <c r="AU179" s="148"/>
      <c r="AW179" s="148"/>
      <c r="AY179" s="148"/>
      <c r="BA179" s="148"/>
      <c r="BC179" s="148"/>
      <c r="BE179" s="148"/>
      <c r="BG179" s="148"/>
      <c r="BI179" s="148"/>
      <c r="BK179" s="148"/>
      <c r="BM179" s="148"/>
      <c r="BO179" s="148"/>
      <c r="BQ179" s="148"/>
      <c r="BS179" s="148"/>
      <c r="BU179" s="148"/>
      <c r="BW179" s="148"/>
      <c r="BY179" s="148"/>
      <c r="CA179" s="148"/>
      <c r="CC179" s="148"/>
      <c r="CE179" s="148"/>
      <c r="CG179" s="148"/>
      <c r="CI179" s="148"/>
      <c r="CK179" s="148"/>
      <c r="CM179" s="148"/>
      <c r="CO179" s="148"/>
      <c r="CQ179" s="148"/>
      <c r="CS179" s="148"/>
      <c r="CU179" s="148"/>
      <c r="CW179" s="148"/>
      <c r="CY179" s="148"/>
      <c r="DA179" s="148"/>
      <c r="DC179" s="148"/>
      <c r="DE179" s="148"/>
      <c r="DG179" s="148"/>
      <c r="DI179" s="148"/>
      <c r="DK179" s="148"/>
      <c r="DM179" s="148"/>
      <c r="DO179" s="148"/>
      <c r="DQ179" s="148"/>
      <c r="DS179" s="148"/>
    </row>
    <row r="180" spans="1:123" ht="13" x14ac:dyDescent="0.3">
      <c r="B180" s="103">
        <f>IF(AND('AES Indiana Bill Calc.'!$D$17="SS",'AES Indiana Bill Calc.'!$D$18="Yes 50%",'AES Indiana Bill Calc.'!$D$20="Yes 2024"),'AES Indiana Bill Calc.'!$D$19,-1)</f>
        <v>-1</v>
      </c>
      <c r="C180" s="1" t="s">
        <v>149</v>
      </c>
      <c r="D180" s="148"/>
      <c r="F180" s="36" t="s">
        <v>309</v>
      </c>
      <c r="G180" s="42">
        <f>SUM(J180:M180,O180:P180,R180:AA180)</f>
        <v>39.89</v>
      </c>
      <c r="H180" s="19" t="e">
        <f>IF(ISBLANK(B180),0,+#REF!/B180)</f>
        <v>#REF!</v>
      </c>
      <c r="I180" s="148"/>
      <c r="J180" s="82">
        <f>IF(ISBLANK(B180),0,IF(B180&gt;J$94,+J$93,+F$93))</f>
        <v>40</v>
      </c>
      <c r="K180" s="82">
        <f>IF($B180&gt;K$94,ROUND(K$94*K$93,2),ROUND($B180*K$93,2))</f>
        <v>-0.12</v>
      </c>
      <c r="L180" s="82">
        <f>IF($B180&gt;K$94,ROUND(($B180-K$94)*L$93,2),0)</f>
        <v>0</v>
      </c>
      <c r="M180" s="148"/>
      <c r="N180" s="42">
        <f>SUM(K180:L180)</f>
        <v>-0.12</v>
      </c>
      <c r="O180" s="148"/>
      <c r="P180" s="148"/>
      <c r="Q180" s="148"/>
      <c r="S180" s="42">
        <f>ROUND($B180*S$93*S179,2)</f>
        <v>0</v>
      </c>
      <c r="T180" s="42">
        <f>ROUND($B180*T$93,2)</f>
        <v>0.01</v>
      </c>
      <c r="U180" s="42">
        <f>ROUND($B180*U$93,2)</f>
        <v>0</v>
      </c>
      <c r="V180" s="41">
        <f>ROUND($B180*V$92,2)</f>
        <v>0</v>
      </c>
      <c r="W180" s="148"/>
      <c r="X180" s="42">
        <f>ROUND($B180*X$93,2)</f>
        <v>0</v>
      </c>
      <c r="Y180" s="42">
        <f>ROUND($B180*Y$93,2)</f>
        <v>0</v>
      </c>
      <c r="Z180" s="42">
        <f>ROUND($B180*Z$93,2)</f>
        <v>0</v>
      </c>
      <c r="AA180" s="42">
        <f>ROUND($B180*AA$93,2)</f>
        <v>0</v>
      </c>
      <c r="AB180" s="19">
        <f>SUM(U$93:AA$93)+(-V$93+V142)</f>
        <v>3.4420000000000006E-3</v>
      </c>
      <c r="AC180" s="148"/>
      <c r="AE180" s="148"/>
      <c r="AG180" s="148"/>
      <c r="AI180" s="148"/>
      <c r="AK180" s="148"/>
      <c r="AM180" s="148"/>
      <c r="AO180" s="148"/>
      <c r="AQ180" s="148"/>
      <c r="AS180" s="148"/>
      <c r="AU180" s="148"/>
      <c r="AW180" s="148"/>
      <c r="AY180" s="148"/>
      <c r="BA180" s="148"/>
      <c r="BC180" s="148"/>
      <c r="BE180" s="148"/>
      <c r="BG180" s="148"/>
      <c r="BI180" s="148"/>
      <c r="BK180" s="148"/>
      <c r="BM180" s="148"/>
      <c r="BO180" s="148"/>
      <c r="BQ180" s="148"/>
      <c r="BS180" s="148"/>
      <c r="BU180" s="148"/>
      <c r="BW180" s="148"/>
      <c r="BY180" s="148"/>
      <c r="CA180" s="148"/>
      <c r="CC180" s="148"/>
      <c r="CE180" s="148"/>
      <c r="CG180" s="148"/>
      <c r="CI180" s="148"/>
      <c r="CK180" s="148"/>
      <c r="CM180" s="148"/>
      <c r="CO180" s="148"/>
      <c r="CQ180" s="148"/>
      <c r="CS180" s="148"/>
      <c r="CU180" s="148"/>
      <c r="CW180" s="148"/>
      <c r="CY180" s="148"/>
      <c r="DA180" s="148"/>
      <c r="DC180" s="148"/>
      <c r="DE180" s="148"/>
      <c r="DG180" s="148"/>
      <c r="DI180" s="148"/>
      <c r="DK180" s="148"/>
      <c r="DM180" s="148"/>
      <c r="DO180" s="148"/>
      <c r="DQ180" s="148"/>
      <c r="DS180" s="148"/>
    </row>
    <row r="181" spans="1:123" ht="13" x14ac:dyDescent="0.3">
      <c r="B181" s="97">
        <v>-1</v>
      </c>
      <c r="C181" s="9"/>
      <c r="F181" s="36"/>
      <c r="G181" s="42"/>
      <c r="H181" s="19"/>
      <c r="I181" s="19"/>
      <c r="J181" s="82"/>
      <c r="K181" s="82"/>
      <c r="L181" s="82"/>
      <c r="M181" s="41"/>
      <c r="N181" s="41"/>
      <c r="O181" s="41"/>
      <c r="P181" s="41"/>
      <c r="Q181" s="41"/>
      <c r="R181" s="41"/>
      <c r="S181" s="50">
        <v>0.25</v>
      </c>
      <c r="T181" s="42"/>
      <c r="U181" s="42"/>
      <c r="V181" s="41"/>
      <c r="W181" s="42"/>
      <c r="X181" s="42"/>
      <c r="Y181" s="42"/>
      <c r="Z181" s="42"/>
      <c r="AA181" s="42"/>
      <c r="AB181" s="19"/>
      <c r="AC181" s="94"/>
      <c r="AE181" s="148"/>
      <c r="AG181" s="148"/>
      <c r="AI181" s="148"/>
      <c r="AK181" s="148"/>
      <c r="AM181" s="148"/>
      <c r="AO181" s="148"/>
      <c r="AQ181" s="148"/>
      <c r="AS181" s="148"/>
      <c r="AU181" s="148"/>
      <c r="AW181" s="148"/>
      <c r="AY181" s="148"/>
      <c r="BA181" s="148"/>
      <c r="BC181" s="148"/>
      <c r="BE181" s="148"/>
      <c r="BG181" s="148"/>
      <c r="BI181" s="148"/>
      <c r="BK181" s="148"/>
      <c r="BM181" s="148"/>
      <c r="BO181" s="148"/>
      <c r="BQ181" s="148"/>
      <c r="BS181" s="148"/>
      <c r="BU181" s="148"/>
      <c r="BW181" s="148"/>
      <c r="BY181" s="148"/>
      <c r="CA181" s="148"/>
      <c r="CC181" s="148"/>
      <c r="CE181" s="148"/>
      <c r="CG181" s="148"/>
      <c r="CI181" s="148"/>
      <c r="CK181" s="148"/>
      <c r="CM181" s="148"/>
      <c r="CO181" s="148"/>
      <c r="CQ181" s="148"/>
      <c r="CS181" s="148"/>
      <c r="CU181" s="148"/>
      <c r="CW181" s="148"/>
      <c r="CY181" s="148"/>
      <c r="DA181" s="148"/>
      <c r="DC181" s="148"/>
      <c r="DE181" s="148"/>
      <c r="DG181" s="148"/>
      <c r="DI181" s="148"/>
      <c r="DK181" s="148"/>
      <c r="DM181" s="148"/>
      <c r="DO181" s="148"/>
      <c r="DQ181" s="148"/>
      <c r="DS181" s="148"/>
    </row>
    <row r="182" spans="1:123" ht="13" x14ac:dyDescent="0.3">
      <c r="B182" s="103">
        <f>IF(AND('AES Indiana Bill Calc.'!$D$17="SS",'AES Indiana Bill Calc.'!$D$18="Yes 25%",'AES Indiana Bill Calc.'!$D$20="Yes 2024"),'AES Indiana Bill Calc.'!$D$19,-1)</f>
        <v>-1</v>
      </c>
      <c r="C182" s="1" t="s">
        <v>150</v>
      </c>
      <c r="D182" s="148"/>
      <c r="F182" s="36" t="s">
        <v>309</v>
      </c>
      <c r="G182" s="42">
        <f>SUM(J182:M182,O182:P182,R182:AA182)</f>
        <v>39.89</v>
      </c>
      <c r="H182" s="19" t="e">
        <f>IF(ISBLANK(B182),0,+#REF!/B182)</f>
        <v>#REF!</v>
      </c>
      <c r="I182" s="148"/>
      <c r="J182" s="82">
        <f>IF(ISBLANK(B182),0,IF(B182&gt;J$94,+J$93,+F$93))</f>
        <v>40</v>
      </c>
      <c r="K182" s="82">
        <f>IF($B182&gt;K$94,ROUND(K$94*K$93,2),ROUND($B182*K$93,2))</f>
        <v>-0.12</v>
      </c>
      <c r="L182" s="82">
        <f>IF($B182&gt;K$94,ROUND(($B182-K$94)*L$93,2),0)</f>
        <v>0</v>
      </c>
      <c r="M182" s="148"/>
      <c r="N182" s="42">
        <f>SUM(K182:L182)</f>
        <v>-0.12</v>
      </c>
      <c r="O182" s="148"/>
      <c r="P182" s="148"/>
      <c r="Q182" s="148"/>
      <c r="S182" s="42">
        <f>ROUND($B182*S$93*S181,2)</f>
        <v>0</v>
      </c>
      <c r="T182" s="42">
        <f>ROUND($B182*T$93,2)</f>
        <v>0.01</v>
      </c>
      <c r="U182" s="42">
        <f>ROUND($B182*U$93,2)</f>
        <v>0</v>
      </c>
      <c r="V182" s="41">
        <f>ROUND($B182*V$92,2)</f>
        <v>0</v>
      </c>
      <c r="W182" s="148"/>
      <c r="X182" s="42">
        <f>ROUND($B182*X$93,2)</f>
        <v>0</v>
      </c>
      <c r="Y182" s="42">
        <f>ROUND($B182*Y$93,2)</f>
        <v>0</v>
      </c>
      <c r="Z182" s="42">
        <f>ROUND($B182*Z$93,2)</f>
        <v>0</v>
      </c>
      <c r="AA182" s="42">
        <f>ROUND($B182*AA$93,2)</f>
        <v>0</v>
      </c>
      <c r="AB182" s="19">
        <f>SUM(U$93:AA$93)+(-V$93+V144)</f>
        <v>3.4420000000000006E-3</v>
      </c>
      <c r="AC182" s="148"/>
      <c r="AE182" s="148"/>
      <c r="AG182" s="148"/>
      <c r="AI182" s="148"/>
      <c r="AK182" s="148"/>
      <c r="AM182" s="148"/>
      <c r="AO182" s="148"/>
      <c r="AQ182" s="148"/>
      <c r="AS182" s="148"/>
      <c r="AU182" s="148"/>
      <c r="AW182" s="148"/>
      <c r="AY182" s="148"/>
      <c r="BA182" s="148"/>
      <c r="BC182" s="148"/>
      <c r="BE182" s="148"/>
      <c r="BG182" s="148"/>
      <c r="BI182" s="148"/>
      <c r="BK182" s="148"/>
      <c r="BM182" s="148"/>
      <c r="BO182" s="148"/>
      <c r="BQ182" s="148"/>
      <c r="BS182" s="148"/>
      <c r="BU182" s="148"/>
      <c r="BW182" s="148"/>
      <c r="BY182" s="148"/>
      <c r="CA182" s="148"/>
      <c r="CC182" s="148"/>
      <c r="CE182" s="148"/>
      <c r="CG182" s="148"/>
      <c r="CI182" s="148"/>
      <c r="CK182" s="148"/>
      <c r="CM182" s="148"/>
      <c r="CO182" s="148"/>
      <c r="CQ182" s="148"/>
      <c r="CS182" s="148"/>
      <c r="CU182" s="148"/>
      <c r="CW182" s="148"/>
      <c r="CY182" s="148"/>
      <c r="DA182" s="148"/>
      <c r="DC182" s="148"/>
      <c r="DE182" s="148"/>
      <c r="DG182" s="148"/>
      <c r="DI182" s="148"/>
      <c r="DK182" s="148"/>
      <c r="DM182" s="148"/>
      <c r="DO182" s="148"/>
      <c r="DQ182" s="148"/>
      <c r="DS182" s="148"/>
    </row>
    <row r="183" spans="1:123" ht="13" x14ac:dyDescent="0.3">
      <c r="B183" s="97">
        <v>-1</v>
      </c>
      <c r="C183" s="9"/>
      <c r="F183" s="36"/>
      <c r="G183" s="42"/>
      <c r="H183" s="19"/>
      <c r="I183" s="19"/>
      <c r="J183" s="82"/>
      <c r="K183" s="82"/>
      <c r="L183" s="82"/>
      <c r="M183" s="41"/>
      <c r="N183" s="41"/>
      <c r="O183" s="41"/>
      <c r="P183" s="41"/>
      <c r="Q183" s="41"/>
      <c r="R183" s="41"/>
      <c r="S183" s="50">
        <v>0.1</v>
      </c>
      <c r="T183" s="42"/>
      <c r="U183" s="42"/>
      <c r="V183" s="41"/>
      <c r="W183" s="42"/>
      <c r="X183" s="42"/>
      <c r="Y183" s="42"/>
      <c r="Z183" s="42"/>
      <c r="AA183" s="42"/>
      <c r="AB183" s="19"/>
      <c r="AC183" s="94"/>
      <c r="AE183" s="148"/>
      <c r="AG183" s="148"/>
      <c r="AI183" s="148"/>
      <c r="AK183" s="148"/>
      <c r="AM183" s="148"/>
      <c r="AO183" s="148"/>
      <c r="AQ183" s="148"/>
      <c r="AS183" s="148"/>
      <c r="AU183" s="148"/>
      <c r="AW183" s="148"/>
      <c r="AY183" s="148"/>
      <c r="BA183" s="148"/>
      <c r="BC183" s="148"/>
      <c r="BE183" s="148"/>
      <c r="BG183" s="148"/>
      <c r="BI183" s="148"/>
      <c r="BK183" s="148"/>
      <c r="BM183" s="148"/>
      <c r="BO183" s="148"/>
      <c r="BQ183" s="148"/>
      <c r="BS183" s="148"/>
      <c r="BU183" s="148"/>
      <c r="BW183" s="148"/>
      <c r="BY183" s="148"/>
      <c r="CA183" s="148"/>
      <c r="CC183" s="148"/>
      <c r="CE183" s="148"/>
      <c r="CG183" s="148"/>
      <c r="CI183" s="148"/>
      <c r="CK183" s="148"/>
      <c r="CM183" s="148"/>
      <c r="CO183" s="148"/>
      <c r="CQ183" s="148"/>
      <c r="CS183" s="148"/>
      <c r="CU183" s="148"/>
      <c r="CW183" s="148"/>
      <c r="CY183" s="148"/>
      <c r="DA183" s="148"/>
      <c r="DC183" s="148"/>
      <c r="DE183" s="148"/>
      <c r="DG183" s="148"/>
      <c r="DI183" s="148"/>
      <c r="DK183" s="148"/>
      <c r="DM183" s="148"/>
      <c r="DO183" s="148"/>
      <c r="DQ183" s="148"/>
      <c r="DS183" s="148"/>
    </row>
    <row r="184" spans="1:123" ht="13" x14ac:dyDescent="0.3">
      <c r="B184" s="103">
        <f>IF(AND('AES Indiana Bill Calc.'!$D$17="SS",'AES Indiana Bill Calc.'!$D$18="Yes 10%",'AES Indiana Bill Calc.'!$D$20="Yes 2024"),'AES Indiana Bill Calc.'!$D$19,-1)</f>
        <v>-1</v>
      </c>
      <c r="C184" s="1" t="s">
        <v>164</v>
      </c>
      <c r="D184" s="148"/>
      <c r="F184" s="36" t="s">
        <v>309</v>
      </c>
      <c r="G184" s="42">
        <f>SUM(J184:M184,O184:P184,R184:AA184)</f>
        <v>39.89</v>
      </c>
      <c r="H184" s="19" t="e">
        <f>IF(ISBLANK(B184),0,+#REF!/B184)</f>
        <v>#REF!</v>
      </c>
      <c r="I184" s="148"/>
      <c r="J184" s="82">
        <f>IF(ISBLANK(B184),0,IF(B184&gt;J$94,+J$93,+F$93))</f>
        <v>40</v>
      </c>
      <c r="K184" s="82">
        <f>IF($B184&gt;K$94,ROUND(K$94*K$93,2),ROUND($B184*K$93,2))</f>
        <v>-0.12</v>
      </c>
      <c r="L184" s="82">
        <f>IF($B184&gt;K$94,ROUND(($B184-K$94)*L$93,2),0)</f>
        <v>0</v>
      </c>
      <c r="M184" s="148"/>
      <c r="N184" s="42">
        <f>SUM(K184:L184)</f>
        <v>-0.12</v>
      </c>
      <c r="O184" s="148"/>
      <c r="P184" s="148"/>
      <c r="Q184" s="148"/>
      <c r="S184" s="42">
        <f>ROUND($B184*S$93*S183,2)</f>
        <v>0</v>
      </c>
      <c r="T184" s="42">
        <f>ROUND($B184*T$93,2)</f>
        <v>0.01</v>
      </c>
      <c r="U184" s="42">
        <f>ROUND($B184*U$93,2)</f>
        <v>0</v>
      </c>
      <c r="V184" s="41">
        <f>ROUND($B184*V$92,2)</f>
        <v>0</v>
      </c>
      <c r="W184" s="148"/>
      <c r="X184" s="42">
        <f>ROUND($B184*X$93,2)</f>
        <v>0</v>
      </c>
      <c r="Y184" s="42">
        <f>ROUND($B184*Y$93,2)</f>
        <v>0</v>
      </c>
      <c r="Z184" s="42">
        <f>ROUND($B184*Z$93,2)</f>
        <v>0</v>
      </c>
      <c r="AA184" s="42">
        <f>ROUND($B184*AA$93,2)</f>
        <v>0</v>
      </c>
      <c r="AB184" s="19">
        <f>SUM(U$93:AA$93)+(-V$93+V146)</f>
        <v>3.4420000000000006E-3</v>
      </c>
      <c r="AC184" s="148"/>
      <c r="AE184" s="148"/>
      <c r="AG184" s="148"/>
      <c r="AI184" s="148"/>
      <c r="AK184" s="148"/>
      <c r="AM184" s="148"/>
      <c r="AO184" s="148"/>
      <c r="AQ184" s="148"/>
      <c r="AS184" s="148"/>
      <c r="AU184" s="148"/>
      <c r="AW184" s="148"/>
      <c r="AY184" s="148"/>
      <c r="BA184" s="148"/>
      <c r="BC184" s="148"/>
      <c r="BE184" s="148"/>
      <c r="BG184" s="148"/>
      <c r="BI184" s="148"/>
      <c r="BK184" s="148"/>
      <c r="BM184" s="148"/>
      <c r="BO184" s="148"/>
      <c r="BQ184" s="148"/>
      <c r="BS184" s="148"/>
      <c r="BU184" s="148"/>
      <c r="BW184" s="148"/>
      <c r="BY184" s="148"/>
      <c r="CA184" s="148"/>
      <c r="CC184" s="148"/>
      <c r="CE184" s="148"/>
      <c r="CG184" s="148"/>
      <c r="CI184" s="148"/>
      <c r="CK184" s="148"/>
      <c r="CM184" s="148"/>
      <c r="CO184" s="148"/>
      <c r="CQ184" s="148"/>
      <c r="CS184" s="148"/>
      <c r="CU184" s="148"/>
      <c r="CW184" s="148"/>
      <c r="CY184" s="148"/>
      <c r="DA184" s="148"/>
      <c r="DC184" s="148"/>
      <c r="DE184" s="148"/>
      <c r="DG184" s="148"/>
      <c r="DI184" s="148"/>
      <c r="DK184" s="148"/>
      <c r="DM184" s="148"/>
      <c r="DO184" s="148"/>
      <c r="DQ184" s="148"/>
      <c r="DS184" s="148"/>
    </row>
    <row r="185" spans="1:123" ht="13" x14ac:dyDescent="0.3">
      <c r="B185" s="97">
        <v>-1</v>
      </c>
      <c r="F185" s="36"/>
      <c r="G185" s="42"/>
      <c r="H185" s="19"/>
      <c r="I185" s="19"/>
      <c r="J185" s="82"/>
      <c r="K185" s="82"/>
      <c r="L185" s="82"/>
      <c r="M185" s="41"/>
      <c r="N185" s="41"/>
      <c r="O185" s="41"/>
      <c r="P185" s="41"/>
      <c r="Q185" s="41"/>
      <c r="R185" s="41"/>
      <c r="S185" s="50">
        <v>0</v>
      </c>
      <c r="T185" s="42"/>
      <c r="U185" s="42"/>
      <c r="V185" s="41"/>
      <c r="W185" s="42"/>
      <c r="X185" s="42"/>
      <c r="Y185" s="42"/>
      <c r="Z185" s="42"/>
      <c r="AA185" s="42"/>
      <c r="AB185" s="19"/>
      <c r="AC185" s="94"/>
      <c r="AE185" s="148"/>
      <c r="AG185" s="148"/>
      <c r="AI185" s="148"/>
      <c r="AK185" s="148"/>
      <c r="AM185" s="148"/>
      <c r="AO185" s="148"/>
      <c r="AQ185" s="148"/>
      <c r="AS185" s="148"/>
      <c r="AU185" s="148"/>
      <c r="AW185" s="148"/>
      <c r="AY185" s="148"/>
      <c r="BA185" s="148"/>
      <c r="BC185" s="148"/>
      <c r="BE185" s="148"/>
      <c r="BG185" s="148"/>
      <c r="BI185" s="148"/>
      <c r="BK185" s="148"/>
      <c r="BM185" s="148"/>
      <c r="BO185" s="148"/>
      <c r="BQ185" s="148"/>
      <c r="BS185" s="148"/>
      <c r="BU185" s="148"/>
      <c r="BW185" s="148"/>
      <c r="BY185" s="148"/>
      <c r="CA185" s="148"/>
      <c r="CC185" s="148"/>
      <c r="CE185" s="148"/>
      <c r="CG185" s="148"/>
      <c r="CI185" s="148"/>
      <c r="CK185" s="148"/>
      <c r="CM185" s="148"/>
      <c r="CO185" s="148"/>
      <c r="CQ185" s="148"/>
      <c r="CS185" s="148"/>
      <c r="CU185" s="148"/>
      <c r="CW185" s="148"/>
      <c r="CY185" s="148"/>
      <c r="DA185" s="148"/>
      <c r="DC185" s="148"/>
      <c r="DE185" s="148"/>
      <c r="DG185" s="148"/>
      <c r="DI185" s="148"/>
      <c r="DK185" s="148"/>
      <c r="DM185" s="148"/>
      <c r="DO185" s="148"/>
      <c r="DQ185" s="148"/>
      <c r="DS185" s="148"/>
    </row>
    <row r="186" spans="1:123" ht="13.5" thickBot="1" x14ac:dyDescent="0.35">
      <c r="A186" s="21"/>
      <c r="B186" s="106">
        <f>IF(AND('AES Indiana Bill Calc.'!$D$17="SS",'AES Indiana Bill Calc.'!$D$18="No",'AES Indiana Bill Calc.'!$D$20="Yes 2024"),'AES Indiana Bill Calc.'!$D$19,-1)</f>
        <v>-1</v>
      </c>
      <c r="C186" s="150" t="s">
        <v>147</v>
      </c>
      <c r="D186" s="125"/>
      <c r="E186" s="21"/>
      <c r="F186" s="36" t="s">
        <v>309</v>
      </c>
      <c r="G186" s="23">
        <f>SUM(J186:M186,O186:P186,R186:AA186)</f>
        <v>39.89</v>
      </c>
      <c r="H186" s="25" t="e">
        <f>IF(ISBLANK(B186),0,+#REF!/B186)</f>
        <v>#REF!</v>
      </c>
      <c r="I186" s="125"/>
      <c r="J186" s="22">
        <f>IF(ISBLANK(B186),0,IF(B186&gt;J$94,+J$93,+F$93))</f>
        <v>40</v>
      </c>
      <c r="K186" s="22">
        <f>IF($B186&gt;K$94,ROUND(K$94*K$93,2),ROUND($B186*K$93,2))</f>
        <v>-0.12</v>
      </c>
      <c r="L186" s="22">
        <f>IF($B186&gt;K$94,ROUND(($B186-K$94)*L$93,2),0)</f>
        <v>0</v>
      </c>
      <c r="M186" s="125"/>
      <c r="N186" s="23">
        <f>SUM(K186:L186)</f>
        <v>-0.12</v>
      </c>
      <c r="O186" s="125"/>
      <c r="P186" s="125"/>
      <c r="Q186" s="125"/>
      <c r="R186" s="21"/>
      <c r="S186" s="23">
        <f>ROUND($B186*S$93*S185,2)</f>
        <v>0</v>
      </c>
      <c r="T186" s="23">
        <f>ROUND($B186*T$93,2)</f>
        <v>0.01</v>
      </c>
      <c r="U186" s="23">
        <f>ROUND($B186*U$93,2)</f>
        <v>0</v>
      </c>
      <c r="V186" s="24">
        <f>ROUND($B186*V$92,2)</f>
        <v>0</v>
      </c>
      <c r="W186" s="125"/>
      <c r="X186" s="23">
        <f>ROUND($B186*X$93,2)</f>
        <v>0</v>
      </c>
      <c r="Y186" s="23">
        <f>ROUND($B186*Y$93,2)</f>
        <v>0</v>
      </c>
      <c r="Z186" s="23">
        <f>ROUND($B186*Z$93,2)</f>
        <v>0</v>
      </c>
      <c r="AA186" s="23">
        <f>ROUND($B186*AA$93,2)</f>
        <v>0</v>
      </c>
      <c r="AB186" s="25">
        <f>SUM(U$93:AA$93)+(-V$93+V148)</f>
        <v>3.4420000000000006E-3</v>
      </c>
      <c r="AC186" s="125"/>
      <c r="AE186" s="148"/>
      <c r="AG186" s="148"/>
      <c r="AI186" s="148"/>
      <c r="AK186" s="148"/>
      <c r="AM186" s="148"/>
      <c r="AO186" s="148"/>
      <c r="AQ186" s="148"/>
      <c r="AS186" s="148"/>
      <c r="AU186" s="148"/>
      <c r="AW186" s="148"/>
      <c r="AY186" s="148"/>
      <c r="BA186" s="148"/>
      <c r="BC186" s="148"/>
      <c r="BE186" s="148"/>
      <c r="BG186" s="148"/>
      <c r="BI186" s="148"/>
      <c r="BK186" s="148"/>
      <c r="BM186" s="148"/>
      <c r="BO186" s="148"/>
      <c r="BQ186" s="148"/>
      <c r="BS186" s="148"/>
      <c r="BU186" s="148"/>
      <c r="BW186" s="148"/>
      <c r="BY186" s="148"/>
      <c r="CA186" s="148"/>
      <c r="CC186" s="148"/>
      <c r="CE186" s="148"/>
      <c r="CG186" s="148"/>
      <c r="CI186" s="148"/>
      <c r="CK186" s="148"/>
      <c r="CM186" s="148"/>
      <c r="CO186" s="148"/>
      <c r="CQ186" s="148"/>
      <c r="CS186" s="148"/>
      <c r="CU186" s="148"/>
      <c r="CW186" s="148"/>
      <c r="CY186" s="148"/>
      <c r="DA186" s="148"/>
      <c r="DC186" s="148"/>
      <c r="DE186" s="148"/>
      <c r="DG186" s="148"/>
      <c r="DI186" s="148"/>
      <c r="DK186" s="148"/>
      <c r="DM186" s="148"/>
      <c r="DO186" s="148"/>
      <c r="DQ186" s="148"/>
      <c r="DS186" s="148"/>
    </row>
    <row r="187" spans="1:123" ht="13" x14ac:dyDescent="0.3">
      <c r="B187" s="97">
        <v>-1</v>
      </c>
      <c r="C187" s="1"/>
      <c r="D187" s="148"/>
      <c r="F187" s="36"/>
      <c r="G187" s="17"/>
      <c r="H187" s="19"/>
      <c r="I187" s="148"/>
      <c r="J187" s="82"/>
      <c r="K187" s="82"/>
      <c r="L187" s="82"/>
      <c r="M187" s="148"/>
      <c r="N187" s="17"/>
      <c r="O187" s="148"/>
      <c r="P187" s="148"/>
      <c r="Q187" s="148"/>
      <c r="S187" s="42"/>
      <c r="T187" s="42"/>
      <c r="U187" s="42"/>
      <c r="V187" s="41"/>
      <c r="W187" s="148"/>
      <c r="X187" s="42"/>
      <c r="Y187" s="42"/>
      <c r="Z187" s="42"/>
      <c r="AA187" s="42"/>
      <c r="AB187" s="19"/>
      <c r="AC187" s="148"/>
      <c r="AE187" s="148"/>
      <c r="AG187" s="148"/>
      <c r="AI187" s="148"/>
      <c r="AK187" s="148"/>
      <c r="AM187" s="148"/>
      <c r="AO187" s="148"/>
      <c r="AQ187" s="148"/>
      <c r="AS187" s="148"/>
      <c r="AU187" s="148"/>
      <c r="AW187" s="148"/>
      <c r="AY187" s="148"/>
      <c r="BA187" s="148"/>
      <c r="BC187" s="148"/>
      <c r="BE187" s="148"/>
      <c r="BG187" s="148"/>
      <c r="BI187" s="148"/>
      <c r="BK187" s="148"/>
      <c r="BM187" s="148"/>
      <c r="BO187" s="148"/>
      <c r="BQ187" s="148"/>
      <c r="BS187" s="148"/>
      <c r="BU187" s="148"/>
      <c r="BW187" s="148"/>
      <c r="BY187" s="148"/>
      <c r="CA187" s="148"/>
      <c r="CC187" s="148"/>
      <c r="CE187" s="148"/>
      <c r="CG187" s="148"/>
      <c r="CI187" s="148"/>
      <c r="CK187" s="148"/>
      <c r="CM187" s="148"/>
      <c r="CO187" s="148"/>
      <c r="CQ187" s="148"/>
      <c r="CS187" s="148"/>
      <c r="CU187" s="148"/>
      <c r="CW187" s="148"/>
      <c r="CY187" s="148"/>
      <c r="DA187" s="148"/>
      <c r="DC187" s="148"/>
      <c r="DE187" s="148"/>
      <c r="DG187" s="148"/>
      <c r="DI187" s="148"/>
      <c r="DK187" s="148"/>
      <c r="DM187" s="148"/>
      <c r="DO187" s="148"/>
      <c r="DQ187" s="148"/>
      <c r="DS187" s="148"/>
    </row>
    <row r="188" spans="1:123" ht="13" x14ac:dyDescent="0.3">
      <c r="B188" s="97">
        <v>-1</v>
      </c>
      <c r="C188" s="80"/>
      <c r="F188" s="36"/>
      <c r="G188" s="42"/>
      <c r="H188" s="19"/>
      <c r="I188" s="19"/>
      <c r="J188" s="82"/>
      <c r="K188" s="82"/>
      <c r="L188" s="82"/>
      <c r="M188" s="41"/>
      <c r="N188" s="41"/>
      <c r="O188" s="41"/>
      <c r="P188" s="41"/>
      <c r="Q188" s="41"/>
      <c r="R188" s="41"/>
      <c r="S188" s="42"/>
      <c r="T188" s="42"/>
      <c r="U188" s="42"/>
      <c r="V188" s="41"/>
      <c r="W188" s="42"/>
      <c r="X188" s="42"/>
      <c r="Y188" s="42"/>
      <c r="Z188" s="42"/>
      <c r="AA188" s="42"/>
      <c r="AB188" s="19"/>
      <c r="AC188" s="94"/>
    </row>
    <row r="189" spans="1:123" ht="13" x14ac:dyDescent="0.3">
      <c r="B189" s="103">
        <v>-1</v>
      </c>
      <c r="C189" s="9"/>
      <c r="F189" s="36"/>
      <c r="G189" s="17"/>
      <c r="H189" s="19"/>
      <c r="I189" s="19"/>
      <c r="J189" s="16"/>
      <c r="K189" s="16"/>
      <c r="L189" s="16"/>
      <c r="M189" s="8"/>
      <c r="N189" s="8"/>
      <c r="O189" s="8"/>
      <c r="P189" s="8"/>
      <c r="Q189" s="8"/>
      <c r="R189" s="8"/>
      <c r="S189" s="17"/>
      <c r="T189" s="17"/>
      <c r="U189" s="17"/>
      <c r="V189" s="27">
        <f>+T9</f>
        <v>0</v>
      </c>
      <c r="W189" s="6" t="s">
        <v>172</v>
      </c>
      <c r="X189" s="17"/>
      <c r="Y189" s="17"/>
      <c r="Z189" s="17"/>
      <c r="AA189" s="17"/>
      <c r="AB189" s="19" t="e">
        <f>+AB$199-V$199+#REF!</f>
        <v>#REF!</v>
      </c>
    </row>
    <row r="190" spans="1:123" x14ac:dyDescent="0.25">
      <c r="B190" s="103">
        <v>-1</v>
      </c>
      <c r="C190" s="9"/>
      <c r="H190" s="19"/>
      <c r="I190" s="19"/>
      <c r="J190" s="16"/>
      <c r="K190" s="16"/>
      <c r="L190" s="16"/>
      <c r="M190" s="8"/>
      <c r="N190" s="8"/>
      <c r="O190" s="8"/>
      <c r="P190" s="8"/>
      <c r="Q190" s="8"/>
      <c r="R190" s="8"/>
      <c r="S190" s="17"/>
      <c r="T190" s="17"/>
      <c r="U190" s="17"/>
      <c r="V190" s="27">
        <f>+T11</f>
        <v>0</v>
      </c>
      <c r="W190" s="6" t="s">
        <v>154</v>
      </c>
      <c r="X190" s="17"/>
      <c r="Y190" s="17"/>
      <c r="Z190" s="17"/>
      <c r="AA190" s="17"/>
      <c r="AB190" s="19">
        <f>+AB$199-V$199+V189</f>
        <v>3.8980000000000004E-3</v>
      </c>
    </row>
    <row r="191" spans="1:123" x14ac:dyDescent="0.25">
      <c r="B191" s="103">
        <v>-1</v>
      </c>
      <c r="C191" s="9"/>
      <c r="H191" s="19"/>
      <c r="I191" s="19"/>
      <c r="J191" s="16"/>
      <c r="K191" s="16"/>
      <c r="L191" s="16"/>
      <c r="M191" s="8"/>
      <c r="N191" s="8"/>
      <c r="O191" s="8"/>
      <c r="P191" s="8"/>
      <c r="Q191" s="8"/>
      <c r="R191" s="8"/>
      <c r="S191" s="17"/>
      <c r="T191" s="17"/>
      <c r="U191" s="17"/>
      <c r="V191" s="27">
        <f>+T13</f>
        <v>0</v>
      </c>
      <c r="W191" s="6" t="s">
        <v>155</v>
      </c>
      <c r="X191" s="17"/>
      <c r="Y191" s="17"/>
      <c r="Z191" s="17"/>
      <c r="AA191" s="17"/>
      <c r="AB191" s="19">
        <f>+AB$199-V$199+V190</f>
        <v>3.8980000000000004E-3</v>
      </c>
    </row>
    <row r="192" spans="1:123" x14ac:dyDescent="0.25">
      <c r="B192" s="103">
        <v>-1</v>
      </c>
      <c r="C192" s="9"/>
      <c r="H192" s="19"/>
      <c r="I192" s="19"/>
      <c r="J192" s="16"/>
      <c r="K192" s="16"/>
      <c r="L192" s="16"/>
      <c r="M192" s="8"/>
      <c r="N192" s="8"/>
      <c r="O192" s="8"/>
      <c r="P192" s="8"/>
      <c r="Q192" s="8"/>
      <c r="R192" s="8"/>
      <c r="S192" s="17"/>
      <c r="T192" s="17"/>
      <c r="U192" s="17"/>
      <c r="V192" s="27">
        <f>T15</f>
        <v>1.37E-4</v>
      </c>
      <c r="W192" s="6" t="s">
        <v>156</v>
      </c>
      <c r="X192" s="17"/>
      <c r="Y192" s="17"/>
      <c r="Z192" s="17"/>
      <c r="AA192" s="17"/>
      <c r="AB192" s="19"/>
    </row>
    <row r="193" spans="1:29" x14ac:dyDescent="0.25">
      <c r="B193" s="103">
        <v>-1</v>
      </c>
      <c r="C193" s="9"/>
      <c r="H193" s="19"/>
      <c r="I193" s="19"/>
      <c r="J193" s="16"/>
      <c r="K193" s="16"/>
      <c r="L193" s="16"/>
      <c r="M193" s="8"/>
      <c r="N193" s="8"/>
      <c r="O193" s="8"/>
      <c r="P193" s="8"/>
      <c r="Q193" s="8"/>
      <c r="R193" s="8"/>
      <c r="S193" s="17"/>
      <c r="T193" s="17"/>
      <c r="U193" s="17"/>
      <c r="V193" s="27">
        <f>$T$18</f>
        <v>-9.0000000000000002E-6</v>
      </c>
      <c r="W193" s="6" t="s">
        <v>157</v>
      </c>
      <c r="X193" s="17"/>
      <c r="Y193" s="17"/>
      <c r="Z193" s="17"/>
      <c r="AA193" s="17"/>
      <c r="AB193" s="19"/>
    </row>
    <row r="194" spans="1:29" x14ac:dyDescent="0.25">
      <c r="B194" s="103">
        <v>-1</v>
      </c>
      <c r="C194" s="9"/>
      <c r="H194" s="19"/>
      <c r="I194" s="19"/>
      <c r="J194" s="16"/>
      <c r="K194" s="16"/>
      <c r="L194" s="16"/>
      <c r="M194" s="8"/>
      <c r="N194" s="8"/>
      <c r="O194" s="8"/>
      <c r="P194" s="8"/>
      <c r="Q194" s="8"/>
      <c r="R194" s="8"/>
      <c r="S194" s="17"/>
      <c r="T194" s="17"/>
      <c r="U194" s="17"/>
      <c r="V194" s="27">
        <f>$T$20</f>
        <v>-2.5500000000000002E-4</v>
      </c>
      <c r="W194" s="6" t="s">
        <v>158</v>
      </c>
      <c r="X194" s="17"/>
      <c r="Y194" s="17"/>
      <c r="Z194" s="17"/>
      <c r="AA194" s="17"/>
      <c r="AB194" s="19"/>
    </row>
    <row r="195" spans="1:29" x14ac:dyDescent="0.25">
      <c r="B195" s="103">
        <v>-1</v>
      </c>
      <c r="C195" s="9"/>
      <c r="H195" s="19"/>
      <c r="I195" s="19"/>
      <c r="J195" s="16"/>
      <c r="K195" s="16"/>
      <c r="L195" s="16"/>
      <c r="M195" s="8"/>
      <c r="N195" s="8"/>
      <c r="O195" s="8"/>
      <c r="P195" s="8"/>
      <c r="Q195" s="8"/>
      <c r="R195" s="8"/>
      <c r="S195" s="17"/>
      <c r="T195" s="17"/>
      <c r="U195" s="17"/>
      <c r="V195" s="27">
        <f>$T$22</f>
        <v>-2.941E-3</v>
      </c>
      <c r="W195" s="6" t="s">
        <v>159</v>
      </c>
      <c r="X195" s="17"/>
      <c r="Y195" s="17"/>
      <c r="Z195" s="17"/>
      <c r="AA195" s="17"/>
      <c r="AB195" s="19"/>
    </row>
    <row r="196" spans="1:29" x14ac:dyDescent="0.25">
      <c r="B196" s="103">
        <v>-1</v>
      </c>
      <c r="C196" s="9"/>
      <c r="H196" s="19"/>
      <c r="I196" s="19"/>
      <c r="J196" s="16"/>
      <c r="K196" s="16"/>
      <c r="L196" s="16"/>
      <c r="M196" s="8"/>
      <c r="N196" s="8"/>
      <c r="O196" s="8"/>
      <c r="P196" s="8"/>
      <c r="Q196" s="8"/>
      <c r="R196" s="8"/>
      <c r="S196" s="17"/>
      <c r="T196" s="17"/>
      <c r="U196" s="17"/>
      <c r="V196" s="27">
        <f>$T$24</f>
        <v>0</v>
      </c>
      <c r="W196" s="6" t="s">
        <v>160</v>
      </c>
      <c r="X196" s="17"/>
      <c r="Y196" s="17"/>
      <c r="Z196" s="17"/>
      <c r="AA196" s="17"/>
      <c r="AB196" s="19"/>
    </row>
    <row r="197" spans="1:29" x14ac:dyDescent="0.25">
      <c r="B197" s="103">
        <v>-1</v>
      </c>
      <c r="C197" s="9"/>
      <c r="H197" s="19"/>
      <c r="I197" s="19"/>
      <c r="J197" s="16"/>
      <c r="K197" s="16"/>
      <c r="L197" s="16"/>
      <c r="M197" s="8"/>
      <c r="N197" s="8"/>
      <c r="O197" s="8"/>
      <c r="P197" s="8"/>
      <c r="Q197" s="8"/>
      <c r="R197" s="8"/>
      <c r="S197" s="17"/>
      <c r="T197" s="17"/>
      <c r="U197" s="17"/>
      <c r="V197" s="19">
        <f>T26</f>
        <v>0</v>
      </c>
      <c r="W197" s="6" t="s">
        <v>161</v>
      </c>
      <c r="X197" s="17"/>
      <c r="Y197" s="17"/>
      <c r="Z197" s="17"/>
      <c r="AA197" s="17"/>
      <c r="AB197" s="19"/>
    </row>
    <row r="198" spans="1:29" x14ac:dyDescent="0.25">
      <c r="B198" s="103"/>
      <c r="C198" s="9"/>
      <c r="H198" s="19"/>
      <c r="I198" s="19"/>
      <c r="J198" s="16"/>
      <c r="K198" s="16"/>
      <c r="L198" s="16"/>
      <c r="M198" s="8"/>
      <c r="N198" s="8"/>
      <c r="O198" s="8"/>
      <c r="P198" s="8"/>
      <c r="Q198" s="8"/>
      <c r="R198" s="8"/>
      <c r="S198" s="17"/>
      <c r="T198" s="17"/>
      <c r="U198" s="17"/>
      <c r="V198" s="19">
        <f>T28</f>
        <v>1.15E-3</v>
      </c>
      <c r="W198" s="6" t="s">
        <v>301</v>
      </c>
      <c r="X198" s="17"/>
      <c r="Y198" s="17"/>
      <c r="Z198" s="17"/>
      <c r="AA198" s="17"/>
      <c r="AB198" s="19"/>
    </row>
    <row r="199" spans="1:29" x14ac:dyDescent="0.25">
      <c r="B199" s="103">
        <v>-1</v>
      </c>
      <c r="C199" s="4"/>
      <c r="F199" s="8"/>
      <c r="I199" s="19"/>
      <c r="J199" s="163">
        <v>55</v>
      </c>
      <c r="K199" s="164">
        <v>0.123516</v>
      </c>
      <c r="L199" s="5"/>
      <c r="M199" s="5"/>
      <c r="N199" s="5"/>
      <c r="O199" s="5"/>
      <c r="P199" s="5"/>
      <c r="Q199" s="143" t="s">
        <v>173</v>
      </c>
      <c r="R199" s="5"/>
      <c r="S199" s="27">
        <f>+M$4</f>
        <v>2.5999999999999999E-3</v>
      </c>
      <c r="T199" s="27">
        <f t="shared" ref="T199:AA199" si="16">+R$4</f>
        <v>-7.7250000000000001E-3</v>
      </c>
      <c r="U199" s="27">
        <f>+S$4</f>
        <v>1.523E-3</v>
      </c>
      <c r="V199" s="27">
        <f t="shared" si="16"/>
        <v>6.6499999999999997E-3</v>
      </c>
      <c r="W199" s="27">
        <f t="shared" si="16"/>
        <v>0</v>
      </c>
      <c r="X199" s="27">
        <f t="shared" si="16"/>
        <v>3.2620000000000001E-3</v>
      </c>
      <c r="Y199" s="27">
        <f t="shared" si="16"/>
        <v>-1.3760000000000001E-3</v>
      </c>
      <c r="Z199" s="27">
        <f t="shared" si="16"/>
        <v>4.8899999999999996E-4</v>
      </c>
      <c r="AA199" s="27">
        <f t="shared" si="16"/>
        <v>-4.5600000000000003E-4</v>
      </c>
      <c r="AB199" s="19">
        <f>SUM(U199:Z199)</f>
        <v>1.0548E-2</v>
      </c>
    </row>
    <row r="200" spans="1:29" x14ac:dyDescent="0.25">
      <c r="A200" s="1"/>
      <c r="B200" s="103">
        <v>-1</v>
      </c>
      <c r="F200" s="8"/>
      <c r="I200" s="19"/>
      <c r="J200" s="73"/>
      <c r="K200" s="73">
        <v>999999</v>
      </c>
    </row>
    <row r="201" spans="1:29" x14ac:dyDescent="0.25">
      <c r="B201" s="103">
        <v>-1</v>
      </c>
      <c r="F201" s="12"/>
      <c r="I201" s="19"/>
      <c r="J201" s="12" t="s">
        <v>137</v>
      </c>
      <c r="K201" s="195" t="s">
        <v>28</v>
      </c>
      <c r="L201" s="195"/>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5">
      <c r="A202" s="13"/>
      <c r="B202" s="103">
        <v>-1</v>
      </c>
      <c r="C202" s="14"/>
      <c r="D202" s="15"/>
      <c r="F202" s="13" t="s">
        <v>141</v>
      </c>
      <c r="G202" s="13" t="s">
        <v>142</v>
      </c>
      <c r="H202" s="13" t="s">
        <v>143</v>
      </c>
      <c r="I202" s="19"/>
      <c r="J202" s="13" t="s">
        <v>144</v>
      </c>
      <c r="K202" s="13" t="s">
        <v>174</v>
      </c>
      <c r="L202" s="13"/>
      <c r="M202" s="13"/>
      <c r="N202" s="143" t="s">
        <v>138</v>
      </c>
      <c r="O202" s="13"/>
      <c r="P202" s="13"/>
      <c r="Q202" s="13"/>
      <c r="R202" s="13"/>
      <c r="S202" s="13" t="s">
        <v>106</v>
      </c>
      <c r="T202" s="13" t="s">
        <v>36</v>
      </c>
      <c r="U202" s="139" t="s">
        <v>38</v>
      </c>
      <c r="V202" s="13" t="s">
        <v>107</v>
      </c>
      <c r="W202" s="13" t="s">
        <v>108</v>
      </c>
      <c r="X202" s="13" t="s">
        <v>109</v>
      </c>
      <c r="Y202" s="139" t="s">
        <v>44</v>
      </c>
      <c r="Z202" s="139" t="s">
        <v>46</v>
      </c>
      <c r="AA202" s="139" t="s">
        <v>48</v>
      </c>
      <c r="AB202" s="66" t="s">
        <v>110</v>
      </c>
    </row>
    <row r="203" spans="1:29" ht="13" x14ac:dyDescent="0.3">
      <c r="B203" s="103">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ht="13" x14ac:dyDescent="0.3">
      <c r="B204" s="103">
        <f>IF(AND('AES Indiana Bill Calc.'!$D$17="SH",'AES Indiana Bill Calc.'!$D$18="No",'AES Indiana Bill Calc.'!$D$20="No"),'AES Indiana Bill Calc.'!$D$19,-1)</f>
        <v>-1</v>
      </c>
      <c r="C204" s="1" t="s">
        <v>147</v>
      </c>
      <c r="F204" s="36" t="s">
        <v>55</v>
      </c>
      <c r="G204" s="17">
        <f>SUM(J204:M204,O204:P204,R204:AA204)</f>
        <v>54.88</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0.01</v>
      </c>
      <c r="U204" s="17">
        <f t="shared" si="17"/>
        <v>0</v>
      </c>
      <c r="V204" s="17">
        <f t="shared" si="17"/>
        <v>-0.01</v>
      </c>
      <c r="W204" s="17">
        <f t="shared" si="17"/>
        <v>0</v>
      </c>
      <c r="X204" s="17">
        <f t="shared" si="17"/>
        <v>0</v>
      </c>
      <c r="Y204" s="17">
        <f t="shared" si="17"/>
        <v>0</v>
      </c>
      <c r="Z204" s="17">
        <f t="shared" si="17"/>
        <v>0</v>
      </c>
      <c r="AA204" s="17">
        <f t="shared" si="17"/>
        <v>0</v>
      </c>
      <c r="AB204" s="19">
        <f>SUM(U199:AA199)</f>
        <v>1.0092E-2</v>
      </c>
      <c r="AC204" s="67" t="str">
        <f>+F204</f>
        <v>SH</v>
      </c>
    </row>
    <row r="205" spans="1:29" ht="13" x14ac:dyDescent="0.3">
      <c r="B205" s="103">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ht="13" x14ac:dyDescent="0.3">
      <c r="B206" s="103">
        <f>IF(AND('AES Indiana Bill Calc.'!$D$17="SH",'AES Indiana Bill Calc.'!$D$18="Yes 100%",'AES Indiana Bill Calc.'!$D$20="No"),'AES Indiana Bill Calc.'!$D$19,-1)</f>
        <v>-1</v>
      </c>
      <c r="C206" s="1" t="s">
        <v>148</v>
      </c>
      <c r="F206" s="36" t="s">
        <v>55</v>
      </c>
      <c r="G206" s="17">
        <f>SUM(J206:M206,O206:P206,R206:AA206)</f>
        <v>54.88</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0.01</v>
      </c>
      <c r="U206" s="17">
        <f t="shared" si="18"/>
        <v>0</v>
      </c>
      <c r="V206" s="17">
        <f t="shared" si="18"/>
        <v>-0.01</v>
      </c>
      <c r="W206" s="17">
        <f t="shared" si="18"/>
        <v>0</v>
      </c>
      <c r="X206" s="17">
        <f t="shared" si="18"/>
        <v>0</v>
      </c>
      <c r="Y206" s="17">
        <f t="shared" si="18"/>
        <v>0</v>
      </c>
      <c r="Z206" s="17">
        <f t="shared" si="18"/>
        <v>0</v>
      </c>
      <c r="AA206" s="17">
        <f t="shared" si="18"/>
        <v>0</v>
      </c>
      <c r="AB206" s="19">
        <f>SUM(U$199:AA$199)</f>
        <v>1.0092E-2</v>
      </c>
      <c r="AC206" s="67" t="str">
        <f>+F206</f>
        <v>SH</v>
      </c>
    </row>
    <row r="207" spans="1:29" ht="13" x14ac:dyDescent="0.3">
      <c r="B207" s="103">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ht="13" x14ac:dyDescent="0.3">
      <c r="B208" s="103">
        <f>IF(AND('AES Indiana Bill Calc.'!$D$17="SH",'AES Indiana Bill Calc.'!$D$18="Yes 50%",'AES Indiana Bill Calc.'!$D$20="No"),'AES Indiana Bill Calc.'!$D$19,-1)</f>
        <v>-1</v>
      </c>
      <c r="C208" s="1" t="s">
        <v>149</v>
      </c>
      <c r="F208" s="36" t="s">
        <v>55</v>
      </c>
      <c r="G208" s="17">
        <f>SUM(J208:M208,O208:P208,R208:AA208)</f>
        <v>54.88</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0.01</v>
      </c>
      <c r="U208" s="17">
        <f t="shared" si="19"/>
        <v>0</v>
      </c>
      <c r="V208" s="17">
        <f t="shared" si="19"/>
        <v>-0.01</v>
      </c>
      <c r="W208" s="17">
        <f t="shared" si="19"/>
        <v>0</v>
      </c>
      <c r="X208" s="17">
        <f t="shared" si="19"/>
        <v>0</v>
      </c>
      <c r="Y208" s="17">
        <f t="shared" si="19"/>
        <v>0</v>
      </c>
      <c r="Z208" s="17">
        <f t="shared" si="19"/>
        <v>0</v>
      </c>
      <c r="AA208" s="17">
        <f t="shared" si="19"/>
        <v>0</v>
      </c>
      <c r="AB208" s="19">
        <f>SUM(U$199:AA$199)</f>
        <v>1.0092E-2</v>
      </c>
      <c r="AC208" s="67" t="str">
        <f>+F208</f>
        <v>SH</v>
      </c>
    </row>
    <row r="209" spans="1:29" ht="13" x14ac:dyDescent="0.3">
      <c r="B209" s="103">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ht="13" x14ac:dyDescent="0.3">
      <c r="B210" s="103">
        <f>IF(AND('AES Indiana Bill Calc.'!$D$17="SH",'AES Indiana Bill Calc.'!$D$18="Yes 25%",'AES Indiana Bill Calc.'!$D$20="No"),'AES Indiana Bill Calc.'!$D$19,-1)</f>
        <v>-1</v>
      </c>
      <c r="C210" s="1" t="s">
        <v>150</v>
      </c>
      <c r="F210" s="36" t="s">
        <v>55</v>
      </c>
      <c r="G210" s="17">
        <f>SUM(J210:M210,O210:P210,R210:AA210)</f>
        <v>54.88</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0.01</v>
      </c>
      <c r="U210" s="17">
        <f t="shared" si="20"/>
        <v>0</v>
      </c>
      <c r="V210" s="17">
        <f t="shared" si="20"/>
        <v>-0.01</v>
      </c>
      <c r="W210" s="17">
        <f t="shared" si="20"/>
        <v>0</v>
      </c>
      <c r="X210" s="17">
        <f t="shared" si="20"/>
        <v>0</v>
      </c>
      <c r="Y210" s="17">
        <f t="shared" si="20"/>
        <v>0</v>
      </c>
      <c r="Z210" s="17">
        <f t="shared" si="20"/>
        <v>0</v>
      </c>
      <c r="AA210" s="17">
        <f t="shared" si="20"/>
        <v>0</v>
      </c>
      <c r="AB210" s="19">
        <f>SUM(U$199:AA$199)</f>
        <v>1.0092E-2</v>
      </c>
      <c r="AC210" s="67" t="str">
        <f>+F210</f>
        <v>SH</v>
      </c>
    </row>
    <row r="211" spans="1:29" ht="13" x14ac:dyDescent="0.3">
      <c r="B211" s="103">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ht="13" x14ac:dyDescent="0.3">
      <c r="B212" s="103">
        <f>IF(AND('AES Indiana Bill Calc.'!$D$17="SH",'AES Indiana Bill Calc.'!$D$18="Yes 10%",'AES Indiana Bill Calc.'!$D$20="No"),'AES Indiana Bill Calc.'!$D$19,-1)</f>
        <v>-1</v>
      </c>
      <c r="C212" s="1" t="s">
        <v>164</v>
      </c>
      <c r="F212" s="36" t="s">
        <v>55</v>
      </c>
      <c r="G212" s="17">
        <f>SUM(J212:M212,O212:P212,R212:AA212)</f>
        <v>54.88</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0.01</v>
      </c>
      <c r="U212" s="17">
        <f t="shared" si="21"/>
        <v>0</v>
      </c>
      <c r="V212" s="17">
        <f t="shared" si="21"/>
        <v>-0.01</v>
      </c>
      <c r="W212" s="17">
        <f t="shared" si="21"/>
        <v>0</v>
      </c>
      <c r="X212" s="17">
        <f t="shared" si="21"/>
        <v>0</v>
      </c>
      <c r="Y212" s="17">
        <f t="shared" si="21"/>
        <v>0</v>
      </c>
      <c r="Z212" s="17">
        <f t="shared" si="21"/>
        <v>0</v>
      </c>
      <c r="AA212" s="17">
        <f t="shared" si="21"/>
        <v>0</v>
      </c>
      <c r="AB212" s="19">
        <f>SUM(U$199:AA$199)</f>
        <v>1.0092E-2</v>
      </c>
      <c r="AC212" s="67" t="str">
        <f>+F212</f>
        <v>SH</v>
      </c>
    </row>
    <row r="213" spans="1:29" ht="13" x14ac:dyDescent="0.3">
      <c r="B213" s="103">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ht="13" x14ac:dyDescent="0.3">
      <c r="B214" s="103">
        <f>IF(AND('AES Indiana Bill Calc.'!$D$17="SH",'AES Indiana Bill Calc.'!$D$18="Yes 100%",'AES Indiana Bill Calc.'!$D$20="Yes Before 2018"),'AES Indiana Bill Calc.'!$D$19,-1)</f>
        <v>-1</v>
      </c>
      <c r="C214" s="1" t="s">
        <v>148</v>
      </c>
      <c r="F214" s="36" t="s">
        <v>175</v>
      </c>
      <c r="G214" s="17">
        <f>SUM(J214:M214,O214:P214,R214:AA214)</f>
        <v>54.89</v>
      </c>
      <c r="H214" s="19" t="e">
        <f>IF(ISBLANK(B214),0,+#REF!/B214)</f>
        <v>#REF!</v>
      </c>
      <c r="I214" s="19"/>
      <c r="J214" s="82">
        <f>IF(ISBLANK(B214),0,+J$199)</f>
        <v>55</v>
      </c>
      <c r="K214" s="82">
        <f>ROUND($B214*K$199,2)</f>
        <v>-0.12</v>
      </c>
      <c r="L214" s="82"/>
      <c r="M214" s="41"/>
      <c r="N214" s="17">
        <f>SUM(K214:L214)</f>
        <v>-0.12</v>
      </c>
      <c r="O214" s="41"/>
      <c r="P214" s="41"/>
      <c r="Q214" s="41"/>
      <c r="R214" s="41"/>
      <c r="S214" s="42">
        <f>ROUND($B214*S$199*S213,2)</f>
        <v>0</v>
      </c>
      <c r="T214" s="42">
        <f>ROUND($B214*T$199,2)</f>
        <v>0.01</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3.4420000000000006E-3</v>
      </c>
      <c r="AC214" s="94" t="str">
        <f>+F214</f>
        <v>SH7</v>
      </c>
    </row>
    <row r="215" spans="1:29" ht="13" x14ac:dyDescent="0.3">
      <c r="B215" s="103">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ht="13" x14ac:dyDescent="0.3">
      <c r="B216" s="103">
        <f>IF(AND('AES Indiana Bill Calc.'!$D$17="SH",'AES Indiana Bill Calc.'!$D$18="Yes 50%",'AES Indiana Bill Calc.'!$D$20="Yes Before 2018"),'AES Indiana Bill Calc.'!$D$19,-1)</f>
        <v>-1</v>
      </c>
      <c r="C216" s="1" t="s">
        <v>149</v>
      </c>
      <c r="F216" s="36" t="s">
        <v>175</v>
      </c>
      <c r="G216" s="17">
        <f>SUM(J216:M216,O216:P216,R216:AA216)</f>
        <v>54.89</v>
      </c>
      <c r="H216" s="19" t="e">
        <f>IF(ISBLANK(B216),0,+#REF!/B216)</f>
        <v>#REF!</v>
      </c>
      <c r="I216" s="19"/>
      <c r="J216" s="82">
        <f>IF(ISBLANK(B216),0,+J$199)</f>
        <v>55</v>
      </c>
      <c r="K216" s="82">
        <f>ROUND($B216*K$199,2)</f>
        <v>-0.12</v>
      </c>
      <c r="L216" s="82"/>
      <c r="M216" s="41"/>
      <c r="N216" s="17">
        <f>SUM(K216:L216)</f>
        <v>-0.12</v>
      </c>
      <c r="O216" s="41"/>
      <c r="P216" s="41"/>
      <c r="Q216" s="41"/>
      <c r="R216" s="41"/>
      <c r="S216" s="42">
        <f>ROUND($B216*S$199*S215,2)</f>
        <v>0</v>
      </c>
      <c r="T216" s="42">
        <f>ROUND($B216*T$199,2)</f>
        <v>0.01</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3.4420000000000006E-3</v>
      </c>
      <c r="AC216" s="94" t="str">
        <f>+F216</f>
        <v>SH7</v>
      </c>
    </row>
    <row r="217" spans="1:29" ht="13" x14ac:dyDescent="0.3">
      <c r="B217" s="103">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ht="13" x14ac:dyDescent="0.3">
      <c r="B218" s="103">
        <f>IF(AND('AES Indiana Bill Calc.'!$D$17="SH",'AES Indiana Bill Calc.'!$D$18="Yes 25%",'AES Indiana Bill Calc.'!$D$20="Yes Before 2018"),'AES Indiana Bill Calc.'!$D$19,-1)</f>
        <v>-1</v>
      </c>
      <c r="C218" s="1" t="s">
        <v>150</v>
      </c>
      <c r="F218" s="36" t="s">
        <v>175</v>
      </c>
      <c r="G218" s="17">
        <f>SUM(J218:M218,O218:P218,R218:AA218)</f>
        <v>54.89</v>
      </c>
      <c r="H218" s="19" t="e">
        <f>IF(ISBLANK(B218),0,+#REF!/B218)</f>
        <v>#REF!</v>
      </c>
      <c r="I218" s="19"/>
      <c r="J218" s="82">
        <f>IF(ISBLANK(B218),0,+J$199)</f>
        <v>55</v>
      </c>
      <c r="K218" s="82">
        <f>ROUND($B218*K$199,2)</f>
        <v>-0.12</v>
      </c>
      <c r="L218" s="82"/>
      <c r="M218" s="41"/>
      <c r="N218" s="17">
        <f>SUM(K218:L218)</f>
        <v>-0.12</v>
      </c>
      <c r="O218" s="41"/>
      <c r="P218" s="41"/>
      <c r="Q218" s="41"/>
      <c r="R218" s="41"/>
      <c r="S218" s="42">
        <f>ROUND($B218*S$199*S217,2)</f>
        <v>0</v>
      </c>
      <c r="T218" s="42">
        <f>ROUND($B218*T$199,2)</f>
        <v>0.01</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3.4420000000000006E-3</v>
      </c>
      <c r="AC218" s="94" t="str">
        <f>+F218</f>
        <v>SH7</v>
      </c>
    </row>
    <row r="219" spans="1:29" ht="13" x14ac:dyDescent="0.3">
      <c r="B219" s="103">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ht="13" x14ac:dyDescent="0.3">
      <c r="B220" s="103">
        <f>IF(AND('AES Indiana Bill Calc.'!$D$17="SH",'AES Indiana Bill Calc.'!$D$18="Yes 10%",'AES Indiana Bill Calc.'!$D$20="Yes Before 2018"),'AES Indiana Bill Calc.'!$D$19,-1)</f>
        <v>-1</v>
      </c>
      <c r="C220" s="1" t="s">
        <v>164</v>
      </c>
      <c r="F220" s="36" t="s">
        <v>175</v>
      </c>
      <c r="G220" s="17">
        <f>SUM(J220:M220,O220:P220,R220:AA220)</f>
        <v>54.89</v>
      </c>
      <c r="H220" s="19" t="e">
        <f>IF(ISBLANK(B220),0,+#REF!/B220)</f>
        <v>#REF!</v>
      </c>
      <c r="I220" s="19"/>
      <c r="J220" s="82">
        <f>IF(ISBLANK(B220),0,+J$199)</f>
        <v>55</v>
      </c>
      <c r="K220" s="82">
        <f>ROUND($B220*K$199,2)</f>
        <v>-0.12</v>
      </c>
      <c r="L220" s="82"/>
      <c r="M220" s="41"/>
      <c r="N220" s="17">
        <f>SUM(K220:L220)</f>
        <v>-0.12</v>
      </c>
      <c r="O220" s="41"/>
      <c r="P220" s="41"/>
      <c r="Q220" s="41"/>
      <c r="R220" s="41"/>
      <c r="S220" s="42">
        <f>ROUND($B220*S$199*S219,2)</f>
        <v>0</v>
      </c>
      <c r="T220" s="42">
        <f>ROUND($B220*T$199,2)</f>
        <v>0.01</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3.4420000000000006E-3</v>
      </c>
      <c r="AC220" s="94" t="str">
        <f>+F220</f>
        <v>SH7</v>
      </c>
    </row>
    <row r="221" spans="1:29" ht="13" x14ac:dyDescent="0.3">
      <c r="B221" s="103">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ht="13" x14ac:dyDescent="0.3">
      <c r="B222" s="103">
        <f>IF(AND('AES Indiana Bill Calc.'!$D$17="SH",'AES Indiana Bill Calc.'!$D$18="No",'AES Indiana Bill Calc.'!$D$20="Yes Before 2018"),'AES Indiana Bill Calc.'!$D$19,-1)</f>
        <v>-1</v>
      </c>
      <c r="C222" s="1" t="s">
        <v>147</v>
      </c>
      <c r="F222" s="36" t="s">
        <v>175</v>
      </c>
      <c r="G222" s="17">
        <f>SUM(J222:M222,O222:P222,R222:AA222)</f>
        <v>54.89</v>
      </c>
      <c r="H222" s="19" t="e">
        <f>IF(ISBLANK(B222),0,+#REF!/B222)</f>
        <v>#REF!</v>
      </c>
      <c r="I222" s="19"/>
      <c r="J222" s="82">
        <f>IF(ISBLANK(B222),0,+J$199)</f>
        <v>55</v>
      </c>
      <c r="K222" s="82">
        <f>ROUND($B222*K$199,2)</f>
        <v>-0.12</v>
      </c>
      <c r="L222" s="82"/>
      <c r="M222" s="41"/>
      <c r="N222" s="17">
        <f>SUM(K222:L222)</f>
        <v>-0.12</v>
      </c>
      <c r="O222" s="41"/>
      <c r="P222" s="41"/>
      <c r="Q222" s="41"/>
      <c r="R222" s="41"/>
      <c r="S222" s="42">
        <f>ROUND($B222*S$199*S221,2)</f>
        <v>0</v>
      </c>
      <c r="T222" s="42">
        <f>ROUND($B222*T$199,2)</f>
        <v>0.01</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3.4420000000000006E-3</v>
      </c>
      <c r="AC222" s="94" t="str">
        <f>+F222</f>
        <v>SH7</v>
      </c>
    </row>
    <row r="223" spans="1:29" ht="13" x14ac:dyDescent="0.3">
      <c r="B223" s="103">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ht="13" x14ac:dyDescent="0.3">
      <c r="A224" s="96"/>
      <c r="B224" s="103">
        <f>IF(AND('AES Indiana Bill Calc.'!$D$17="SH",'AES Indiana Bill Calc.'!$D$18="Yes 100%",'AES Indiana Bill Calc.'!$D$20="Yes 2018"),'AES Indiana Bill Calc.'!$D$19,-1)</f>
        <v>-1</v>
      </c>
      <c r="C224" s="1" t="s">
        <v>148</v>
      </c>
      <c r="F224" s="36" t="s">
        <v>176</v>
      </c>
      <c r="G224" s="17">
        <f>SUM(J224:M224,O224:P224,R224:AA224)</f>
        <v>54.89</v>
      </c>
      <c r="H224" s="19" t="e">
        <f>IF(ISBLANK(B224),0,+#REF!/B224)</f>
        <v>#REF!</v>
      </c>
      <c r="I224" s="19"/>
      <c r="J224" s="82">
        <f>IF(ISBLANK(B224),0,+J$199)</f>
        <v>55</v>
      </c>
      <c r="K224" s="82">
        <f>ROUND($B224*K$199,2)</f>
        <v>-0.12</v>
      </c>
      <c r="L224" s="82"/>
      <c r="M224" s="41"/>
      <c r="N224" s="17">
        <f>SUM(K224:L224)</f>
        <v>-0.12</v>
      </c>
      <c r="O224" s="41"/>
      <c r="P224" s="41"/>
      <c r="Q224" s="41"/>
      <c r="R224" s="41"/>
      <c r="S224" s="42">
        <f>ROUND($B224*S$199*S223,2)</f>
        <v>0</v>
      </c>
      <c r="T224" s="42">
        <f>ROUND($B224*T$199,2)</f>
        <v>0.01</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3.4420000000000006E-3</v>
      </c>
      <c r="AC224" s="94" t="str">
        <f>+F224</f>
        <v>SH8</v>
      </c>
    </row>
    <row r="225" spans="1:29" ht="13" x14ac:dyDescent="0.3">
      <c r="B225" s="103">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ht="13" x14ac:dyDescent="0.3">
      <c r="A226" s="96"/>
      <c r="B226" s="103">
        <f>IF(AND('AES Indiana Bill Calc.'!$D$17="SH",'AES Indiana Bill Calc.'!$D$18="Yes 50%",'AES Indiana Bill Calc.'!$D$20="Yes 2018"),'AES Indiana Bill Calc.'!$D$19,-1)</f>
        <v>-1</v>
      </c>
      <c r="C226" s="1" t="s">
        <v>149</v>
      </c>
      <c r="F226" s="36" t="s">
        <v>176</v>
      </c>
      <c r="G226" s="17">
        <f>SUM(J226:M226,O226:P226,R226:AA226)</f>
        <v>54.89</v>
      </c>
      <c r="H226" s="19" t="e">
        <f>IF(ISBLANK(B226),0,+#REF!/B226)</f>
        <v>#REF!</v>
      </c>
      <c r="I226" s="19"/>
      <c r="J226" s="82">
        <f>IF(ISBLANK(B226),0,+J$199)</f>
        <v>55</v>
      </c>
      <c r="K226" s="82">
        <f>ROUND($B226*K$199,2)</f>
        <v>-0.12</v>
      </c>
      <c r="L226" s="82"/>
      <c r="M226" s="41"/>
      <c r="N226" s="17">
        <f>SUM(K226:L226)</f>
        <v>-0.12</v>
      </c>
      <c r="O226" s="41"/>
      <c r="P226" s="41"/>
      <c r="Q226" s="41"/>
      <c r="R226" s="41"/>
      <c r="S226" s="42">
        <f>ROUND($B226*S$199*S225,2)</f>
        <v>0</v>
      </c>
      <c r="T226" s="42">
        <f>ROUND($B226*T$199,2)</f>
        <v>0.01</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3.4330000000000003E-3</v>
      </c>
      <c r="AC226" s="94" t="str">
        <f>+F226</f>
        <v>SH8</v>
      </c>
    </row>
    <row r="227" spans="1:29" ht="13" x14ac:dyDescent="0.3">
      <c r="B227" s="103">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ht="13" x14ac:dyDescent="0.3">
      <c r="A228" s="96"/>
      <c r="B228" s="103">
        <f>IF(AND('AES Indiana Bill Calc.'!$D$17="SH",'AES Indiana Bill Calc.'!$D$18="Yes 25%",'AES Indiana Bill Calc.'!$D$20="Yes 2018"),'AES Indiana Bill Calc.'!$D$19,-1)</f>
        <v>-1</v>
      </c>
      <c r="C228" s="1" t="s">
        <v>150</v>
      </c>
      <c r="F228" s="36" t="s">
        <v>176</v>
      </c>
      <c r="G228" s="17">
        <f>SUM(J228:M228,O228:P228,R228:AA228)</f>
        <v>54.89</v>
      </c>
      <c r="H228" s="19" t="e">
        <f>IF(ISBLANK(B228),0,+#REF!/B228)</f>
        <v>#REF!</v>
      </c>
      <c r="I228" s="19"/>
      <c r="J228" s="82">
        <f>IF(ISBLANK(B228),0,+J$199)</f>
        <v>55</v>
      </c>
      <c r="K228" s="82">
        <f>ROUND($B228*K$199,2)</f>
        <v>-0.12</v>
      </c>
      <c r="L228" s="82"/>
      <c r="M228" s="41"/>
      <c r="N228" s="17">
        <f>SUM(K228:L228)</f>
        <v>-0.12</v>
      </c>
      <c r="O228" s="41"/>
      <c r="P228" s="41"/>
      <c r="Q228" s="41"/>
      <c r="R228" s="41"/>
      <c r="S228" s="42">
        <f>ROUND($B228*S$199*S227,2)</f>
        <v>0</v>
      </c>
      <c r="T228" s="42">
        <f>ROUND($B228*T$199,2)</f>
        <v>0.01</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5.0100000000000144E-4</v>
      </c>
      <c r="AC228" s="94" t="str">
        <f>+F228</f>
        <v>SH8</v>
      </c>
    </row>
    <row r="229" spans="1:29" ht="13" x14ac:dyDescent="0.3">
      <c r="B229" s="103">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ht="13" x14ac:dyDescent="0.3">
      <c r="A230" s="96"/>
      <c r="B230" s="103">
        <f>IF(AND('AES Indiana Bill Calc.'!$D$17="SH",'AES Indiana Bill Calc.'!$D$18="Yes 10%",'AES Indiana Bill Calc.'!$D$20="Yes 2018"),'AES Indiana Bill Calc.'!$D$19,-1)</f>
        <v>-1</v>
      </c>
      <c r="C230" s="1" t="s">
        <v>164</v>
      </c>
      <c r="F230" s="36" t="s">
        <v>176</v>
      </c>
      <c r="G230" s="17">
        <f>SUM(J230:M230,O230:P230,R230:AA230)</f>
        <v>54.89</v>
      </c>
      <c r="H230" s="19" t="e">
        <f>IF(ISBLANK(B230),0,+#REF!/B230)</f>
        <v>#REF!</v>
      </c>
      <c r="I230" s="19"/>
      <c r="J230" s="82">
        <f>IF(ISBLANK(B230),0,+J$199)</f>
        <v>55</v>
      </c>
      <c r="K230" s="82">
        <f>ROUND($B230*K$199,2)</f>
        <v>-0.12</v>
      </c>
      <c r="L230" s="82"/>
      <c r="M230" s="41"/>
      <c r="N230" s="17">
        <f>SUM(K230:L230)</f>
        <v>-0.12</v>
      </c>
      <c r="O230" s="41"/>
      <c r="P230" s="41"/>
      <c r="Q230" s="41"/>
      <c r="R230" s="41"/>
      <c r="S230" s="42">
        <f>ROUND($B230*S$199*S229,2)</f>
        <v>0</v>
      </c>
      <c r="T230" s="42">
        <f>ROUND($B230*T$199,2)</f>
        <v>0.01</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3.4420000000000006E-3</v>
      </c>
      <c r="AC230" s="94" t="str">
        <f>+F230</f>
        <v>SH8</v>
      </c>
    </row>
    <row r="231" spans="1:29" ht="13" x14ac:dyDescent="0.3">
      <c r="B231" s="103">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ht="13" x14ac:dyDescent="0.3">
      <c r="A232" s="96"/>
      <c r="B232" s="103">
        <f>IF(AND('AES Indiana Bill Calc.'!$D$17="SH",'AES Indiana Bill Calc.'!$D$18="No",'AES Indiana Bill Calc.'!$D$20="Yes 2018"),'AES Indiana Bill Calc.'!$D$19,-1)</f>
        <v>-1</v>
      </c>
      <c r="C232" s="1" t="s">
        <v>147</v>
      </c>
      <c r="F232" s="36" t="s">
        <v>176</v>
      </c>
      <c r="G232" s="17">
        <f>SUM(J232:M232,O232:P232,R232:AA232)</f>
        <v>54.89</v>
      </c>
      <c r="H232" s="19" t="e">
        <f>IF(ISBLANK(B232),0,+#REF!/B232)</f>
        <v>#REF!</v>
      </c>
      <c r="I232" s="19"/>
      <c r="J232" s="82">
        <f>IF(ISBLANK(B232),0,+J$199)</f>
        <v>55</v>
      </c>
      <c r="K232" s="82">
        <f>ROUND($B232*K$199,2)</f>
        <v>-0.12</v>
      </c>
      <c r="L232" s="82"/>
      <c r="M232" s="41"/>
      <c r="N232" s="17">
        <f>SUM(K232:L232)</f>
        <v>-0.12</v>
      </c>
      <c r="O232" s="41"/>
      <c r="P232" s="41"/>
      <c r="Q232" s="41"/>
      <c r="R232" s="41"/>
      <c r="S232" s="42">
        <f>ROUND($B232*S$199*S231,2)</f>
        <v>0</v>
      </c>
      <c r="T232" s="42">
        <f>ROUND($B232*T$199,2)</f>
        <v>0.01</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4" t="str">
        <f>+F232</f>
        <v>SH8</v>
      </c>
    </row>
    <row r="233" spans="1:29" ht="13" x14ac:dyDescent="0.3">
      <c r="A233" s="96"/>
      <c r="B233" s="97">
        <v>-1</v>
      </c>
      <c r="C233" s="97"/>
      <c r="F233" s="36"/>
      <c r="G233" s="98"/>
      <c r="H233" s="19"/>
      <c r="I233" s="19"/>
      <c r="J233" s="104"/>
      <c r="K233" s="104"/>
      <c r="L233" s="104"/>
      <c r="M233" s="87"/>
      <c r="N233" s="87"/>
      <c r="O233" s="87"/>
      <c r="P233" s="87"/>
      <c r="Q233" s="87"/>
      <c r="R233" s="87"/>
      <c r="S233" s="50">
        <v>1</v>
      </c>
      <c r="T233" s="98"/>
      <c r="U233" s="98"/>
      <c r="V233" s="87"/>
      <c r="W233" s="98"/>
      <c r="X233" s="98"/>
      <c r="Y233" s="98"/>
      <c r="Z233" s="98"/>
      <c r="AA233" s="98"/>
      <c r="AB233" s="19"/>
      <c r="AC233" s="105"/>
    </row>
    <row r="234" spans="1:29" ht="13" x14ac:dyDescent="0.3">
      <c r="A234" s="96"/>
      <c r="B234" s="103">
        <f>IF(AND('AES Indiana Bill Calc.'!$D$17="SH",'AES Indiana Bill Calc.'!$D$18="Yes 100%",'AES Indiana Bill Calc.'!$D$20="Yes 2019"),'AES Indiana Bill Calc.'!$D$19,-1)</f>
        <v>-1</v>
      </c>
      <c r="C234" s="1" t="s">
        <v>148</v>
      </c>
      <c r="F234" s="36" t="s">
        <v>177</v>
      </c>
      <c r="G234" s="17">
        <f>SUM(J234:M234,O234:P234,R234:AA234)</f>
        <v>54.89</v>
      </c>
      <c r="H234" s="19" t="e">
        <f>IF(ISBLANK(B234),0,+#REF!/B234)</f>
        <v>#REF!</v>
      </c>
      <c r="I234" s="19"/>
      <c r="J234" s="82">
        <f>IF(ISBLANK(B234),0,+J$199)</f>
        <v>55</v>
      </c>
      <c r="K234" s="82">
        <f>ROUND($B234*K$199,2)</f>
        <v>-0.12</v>
      </c>
      <c r="L234" s="82"/>
      <c r="M234" s="41"/>
      <c r="N234" s="17">
        <f>SUM(K234:L234)</f>
        <v>-0.12</v>
      </c>
      <c r="O234" s="41"/>
      <c r="P234" s="41"/>
      <c r="Q234" s="41"/>
      <c r="R234" s="41"/>
      <c r="S234" s="42">
        <f>ROUND($B234*S$199*S233,2)</f>
        <v>0</v>
      </c>
      <c r="T234" s="42">
        <f>ROUND($B234*T$199,2)</f>
        <v>0.01</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1.0092E-2</v>
      </c>
      <c r="AC234" s="94" t="str">
        <f>+F234</f>
        <v>SH9</v>
      </c>
    </row>
    <row r="235" spans="1:29" ht="13" x14ac:dyDescent="0.3">
      <c r="A235" s="96"/>
      <c r="B235" s="97">
        <v>-1</v>
      </c>
      <c r="C235" s="9"/>
      <c r="F235" s="36"/>
      <c r="G235" s="98"/>
      <c r="H235" s="19"/>
      <c r="I235" s="19"/>
      <c r="J235" s="104"/>
      <c r="K235" s="104"/>
      <c r="L235" s="104"/>
      <c r="M235" s="87"/>
      <c r="N235" s="87"/>
      <c r="O235" s="87"/>
      <c r="P235" s="87"/>
      <c r="Q235" s="87"/>
      <c r="R235" s="87"/>
      <c r="S235" s="50">
        <v>0.5</v>
      </c>
      <c r="T235" s="98"/>
      <c r="U235" s="98"/>
      <c r="V235" s="87"/>
      <c r="W235" s="98"/>
      <c r="X235" s="98"/>
      <c r="Y235" s="98"/>
      <c r="Z235" s="98"/>
      <c r="AA235" s="98"/>
      <c r="AB235" s="19"/>
      <c r="AC235" s="105"/>
    </row>
    <row r="236" spans="1:29" ht="13" x14ac:dyDescent="0.3">
      <c r="A236" s="96"/>
      <c r="B236" s="103">
        <f>IF(AND('AES Indiana Bill Calc.'!$D$17="SH",'AES Indiana Bill Calc.'!$D$18="Yes 50%",'AES Indiana Bill Calc.'!$D$20="Yes 2019"),'AES Indiana Bill Calc.'!$D$19,-1)</f>
        <v>-1</v>
      </c>
      <c r="C236" s="1" t="s">
        <v>149</v>
      </c>
      <c r="F236" s="36" t="s">
        <v>177</v>
      </c>
      <c r="G236" s="17">
        <f>SUM(J236:M236,O236:P236,R236:AA236)</f>
        <v>54.89</v>
      </c>
      <c r="H236" s="19" t="e">
        <f>IF(ISBLANK(B236),0,+#REF!/B236)</f>
        <v>#REF!</v>
      </c>
      <c r="I236" s="19"/>
      <c r="J236" s="82">
        <f>IF(ISBLANK(B236),0,+J$199)</f>
        <v>55</v>
      </c>
      <c r="K236" s="82">
        <f>ROUND($B236*K$199,2)</f>
        <v>-0.12</v>
      </c>
      <c r="L236" s="82"/>
      <c r="M236" s="41"/>
      <c r="N236" s="17">
        <f>SUM(K236:L236)</f>
        <v>-0.12</v>
      </c>
      <c r="O236" s="41"/>
      <c r="P236" s="41"/>
      <c r="Q236" s="41"/>
      <c r="R236" s="41"/>
      <c r="S236" s="42">
        <f>ROUND($B236*S$199*S235,2)</f>
        <v>0</v>
      </c>
      <c r="T236" s="42">
        <f>ROUND($B236*T$199,2)</f>
        <v>0.01</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22.003442</v>
      </c>
      <c r="AC236" s="94" t="str">
        <f>+F236</f>
        <v>SH9</v>
      </c>
    </row>
    <row r="237" spans="1:29" ht="13" x14ac:dyDescent="0.3">
      <c r="A237" s="96"/>
      <c r="B237" s="97">
        <v>-1</v>
      </c>
      <c r="C237" s="9"/>
      <c r="F237" s="36"/>
      <c r="G237" s="98"/>
      <c r="H237" s="19"/>
      <c r="I237" s="19"/>
      <c r="J237" s="104"/>
      <c r="K237" s="104"/>
      <c r="L237" s="104"/>
      <c r="M237" s="87"/>
      <c r="N237" s="87"/>
      <c r="O237" s="87"/>
      <c r="P237" s="87"/>
      <c r="Q237" s="87"/>
      <c r="R237" s="87"/>
      <c r="S237" s="50">
        <v>0.25</v>
      </c>
      <c r="T237" s="98"/>
      <c r="U237" s="98"/>
      <c r="V237" s="87"/>
      <c r="W237" s="98"/>
      <c r="X237" s="98"/>
      <c r="Y237" s="98"/>
      <c r="Z237" s="98"/>
      <c r="AA237" s="98"/>
      <c r="AB237" s="19"/>
      <c r="AC237" s="105"/>
    </row>
    <row r="238" spans="1:29" ht="13" x14ac:dyDescent="0.3">
      <c r="A238" s="96"/>
      <c r="B238" s="103">
        <f>IF(AND('AES Indiana Bill Calc.'!$D$17="SH",'AES Indiana Bill Calc.'!$D$18="Yes 25%",'AES Indiana Bill Calc.'!$D$20="Yes 2019"),'AES Indiana Bill Calc.'!$D$19,-1)</f>
        <v>-1</v>
      </c>
      <c r="C238" s="1" t="s">
        <v>150</v>
      </c>
      <c r="F238" s="36" t="s">
        <v>177</v>
      </c>
      <c r="G238" s="17">
        <f>SUM(J238:M238,O238:P238,R238:AA238)</f>
        <v>54.89</v>
      </c>
      <c r="H238" s="19" t="e">
        <f>IF(ISBLANK(B238),0,+#REF!/B238)</f>
        <v>#REF!</v>
      </c>
      <c r="I238" s="19"/>
      <c r="J238" s="82">
        <f>IF(ISBLANK(B238),0,+J$199)</f>
        <v>55</v>
      </c>
      <c r="K238" s="82">
        <f>ROUND($B238*K$199,2)</f>
        <v>-0.12</v>
      </c>
      <c r="L238" s="82"/>
      <c r="M238" s="41"/>
      <c r="N238" s="17">
        <f>SUM(K238:L238)</f>
        <v>-0.12</v>
      </c>
      <c r="O238" s="41"/>
      <c r="P238" s="41"/>
      <c r="Q238" s="41"/>
      <c r="R238" s="41"/>
      <c r="S238" s="42">
        <f>ROUND($B238*S$199*S237,2)</f>
        <v>0</v>
      </c>
      <c r="T238" s="42">
        <f>ROUND($B238*T$199,2)</f>
        <v>0.01</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3.4420000000000006E-3</v>
      </c>
      <c r="AC238" s="94" t="str">
        <f>+F238</f>
        <v>SH9</v>
      </c>
    </row>
    <row r="239" spans="1:29" ht="13" x14ac:dyDescent="0.3">
      <c r="A239" s="96"/>
      <c r="B239" s="97">
        <v>-1</v>
      </c>
      <c r="C239" s="9"/>
      <c r="F239" s="36"/>
      <c r="G239" s="98"/>
      <c r="H239" s="19"/>
      <c r="I239" s="19"/>
      <c r="J239" s="104"/>
      <c r="K239" s="104"/>
      <c r="L239" s="104"/>
      <c r="M239" s="87"/>
      <c r="N239" s="87"/>
      <c r="O239" s="87"/>
      <c r="P239" s="87"/>
      <c r="Q239" s="87"/>
      <c r="R239" s="87"/>
      <c r="S239" s="50">
        <v>0.1</v>
      </c>
      <c r="T239" s="98"/>
      <c r="U239" s="98"/>
      <c r="V239" s="87"/>
      <c r="W239" s="98"/>
      <c r="X239" s="98"/>
      <c r="Y239" s="98"/>
      <c r="Z239" s="98"/>
      <c r="AA239" s="98"/>
      <c r="AB239" s="19"/>
      <c r="AC239" s="105"/>
    </row>
    <row r="240" spans="1:29" ht="13" x14ac:dyDescent="0.3">
      <c r="A240" s="96"/>
      <c r="B240" s="103">
        <f>IF(AND('AES Indiana Bill Calc.'!$D$17="SH",'AES Indiana Bill Calc.'!$D$18="Yes 10%",'AES Indiana Bill Calc.'!$D$20="Yes 2019"),'AES Indiana Bill Calc.'!$D$19,-1)</f>
        <v>-1</v>
      </c>
      <c r="C240" s="1" t="s">
        <v>164</v>
      </c>
      <c r="F240" s="36" t="s">
        <v>177</v>
      </c>
      <c r="G240" s="17">
        <f>SUM(J240:M240,O240:P240,R240:AA240)</f>
        <v>54.89</v>
      </c>
      <c r="H240" s="19" t="e">
        <f>IF(ISBLANK(B240),0,+#REF!/B240)</f>
        <v>#REF!</v>
      </c>
      <c r="I240" s="19"/>
      <c r="J240" s="82">
        <f>IF(ISBLANK(B240),0,+J$199)</f>
        <v>55</v>
      </c>
      <c r="K240" s="82">
        <f>ROUND($B240*K$199,2)</f>
        <v>-0.12</v>
      </c>
      <c r="L240" s="82"/>
      <c r="M240" s="41"/>
      <c r="N240" s="17">
        <f>SUM(K240:L240)</f>
        <v>-0.12</v>
      </c>
      <c r="O240" s="41"/>
      <c r="P240" s="41"/>
      <c r="Q240" s="41"/>
      <c r="R240" s="41"/>
      <c r="S240" s="42">
        <f>ROUND($B240*S$199*S239,2)</f>
        <v>0</v>
      </c>
      <c r="T240" s="42">
        <f>ROUND($B240*T$199,2)</f>
        <v>0.01</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3.4420000000000006E-3</v>
      </c>
      <c r="AC240" s="94" t="str">
        <f>+F240</f>
        <v>SH9</v>
      </c>
    </row>
    <row r="241" spans="1:29" ht="13" x14ac:dyDescent="0.3">
      <c r="A241" s="96"/>
      <c r="B241" s="97">
        <v>-1</v>
      </c>
      <c r="C241" s="9"/>
      <c r="F241" s="36"/>
      <c r="G241" s="98"/>
      <c r="H241" s="19"/>
      <c r="I241" s="19"/>
      <c r="J241" s="104"/>
      <c r="K241" s="104"/>
      <c r="L241" s="104"/>
      <c r="M241" s="87"/>
      <c r="N241" s="87"/>
      <c r="O241" s="87"/>
      <c r="P241" s="87"/>
      <c r="Q241" s="87"/>
      <c r="R241" s="87"/>
      <c r="S241" s="50">
        <v>0</v>
      </c>
      <c r="T241" s="98"/>
      <c r="U241" s="98"/>
      <c r="V241" s="87"/>
      <c r="W241" s="98"/>
      <c r="X241" s="98"/>
      <c r="Y241" s="98"/>
      <c r="Z241" s="98"/>
      <c r="AA241" s="98"/>
      <c r="AB241" s="19"/>
      <c r="AC241" s="105"/>
    </row>
    <row r="242" spans="1:29" ht="13" x14ac:dyDescent="0.3">
      <c r="A242" s="96"/>
      <c r="B242" s="103">
        <f>IF(AND('AES Indiana Bill Calc.'!$D$17="SH",'AES Indiana Bill Calc.'!$D$18="No",'AES Indiana Bill Calc.'!$D$20="Yes 2019"),'AES Indiana Bill Calc.'!$D$19,-1)</f>
        <v>-1</v>
      </c>
      <c r="C242" s="1" t="s">
        <v>147</v>
      </c>
      <c r="F242" s="36" t="s">
        <v>177</v>
      </c>
      <c r="G242" s="17">
        <f>SUM(J242:M242,O242:P242,R242:AA242)</f>
        <v>54.89</v>
      </c>
      <c r="H242" s="19" t="e">
        <f>IF(ISBLANK(B242),0,+#REF!/B242)</f>
        <v>#REF!</v>
      </c>
      <c r="I242" s="19"/>
      <c r="J242" s="82">
        <f>IF(ISBLANK(B242),0,+J$199)</f>
        <v>55</v>
      </c>
      <c r="K242" s="82">
        <f>ROUND($B242*K$199,2)</f>
        <v>-0.12</v>
      </c>
      <c r="L242" s="82"/>
      <c r="M242" s="41"/>
      <c r="N242" s="17">
        <f>SUM(K242:L242)</f>
        <v>-0.12</v>
      </c>
      <c r="O242" s="41"/>
      <c r="P242" s="41"/>
      <c r="Q242" s="41"/>
      <c r="R242" s="41"/>
      <c r="S242" s="42">
        <f>ROUND($B242*S$199*S241,2)</f>
        <v>0</v>
      </c>
      <c r="T242" s="42">
        <f>ROUND($B242*T$199,2)</f>
        <v>0.01</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3.4420000000000006E-3</v>
      </c>
      <c r="AC242" s="94" t="str">
        <f>+F242</f>
        <v>SH9</v>
      </c>
    </row>
    <row r="243" spans="1:29" ht="13" x14ac:dyDescent="0.3">
      <c r="A243" s="96"/>
      <c r="B243" s="97">
        <v>-1</v>
      </c>
      <c r="C243" s="97"/>
      <c r="F243" s="36"/>
      <c r="G243" s="98"/>
      <c r="H243" s="19"/>
      <c r="I243" s="19"/>
      <c r="J243" s="104"/>
      <c r="K243" s="104"/>
      <c r="L243" s="104"/>
      <c r="M243" s="87"/>
      <c r="N243" s="87"/>
      <c r="O243" s="87"/>
      <c r="P243" s="87"/>
      <c r="Q243" s="87"/>
      <c r="R243" s="87"/>
      <c r="S243" s="50">
        <v>1</v>
      </c>
      <c r="T243" s="98"/>
      <c r="U243" s="98"/>
      <c r="V243" s="87"/>
      <c r="W243" s="98"/>
      <c r="X243" s="98"/>
      <c r="Y243" s="98"/>
      <c r="Z243" s="98"/>
      <c r="AA243" s="98"/>
      <c r="AB243" s="19"/>
      <c r="AC243" s="105"/>
    </row>
    <row r="244" spans="1:29" ht="13" x14ac:dyDescent="0.3">
      <c r="A244" s="96"/>
      <c r="B244" s="103">
        <f>IF(AND('AES Indiana Bill Calc.'!$D$17="SH",'AES Indiana Bill Calc.'!$D$18="Yes 100%",'AES Indiana Bill Calc.'!$D$20="Yes 2020"),'AES Indiana Bill Calc.'!$D$19,-1)</f>
        <v>-1</v>
      </c>
      <c r="C244" s="1" t="s">
        <v>148</v>
      </c>
      <c r="F244" s="36" t="s">
        <v>178</v>
      </c>
      <c r="G244" s="17">
        <f>SUM(J244:M244,O244:P244,R244:AA244)</f>
        <v>54.89</v>
      </c>
      <c r="H244" s="19" t="e">
        <f>IF(ISBLANK(B244),0,+#REF!/B244)</f>
        <v>#REF!</v>
      </c>
      <c r="I244" s="19"/>
      <c r="J244" s="82">
        <f>IF(ISBLANK(B244),0,+J$199)</f>
        <v>55</v>
      </c>
      <c r="K244" s="82">
        <f>ROUND($B244*K$199,2)</f>
        <v>-0.12</v>
      </c>
      <c r="L244" s="82"/>
      <c r="M244" s="41"/>
      <c r="N244" s="17">
        <f>SUM(K244:L244)</f>
        <v>-0.12</v>
      </c>
      <c r="O244" s="41"/>
      <c r="P244" s="41"/>
      <c r="Q244" s="41"/>
      <c r="R244" s="41"/>
      <c r="S244" s="42">
        <f>ROUND($B244*S$199*S243,2)</f>
        <v>0</v>
      </c>
      <c r="T244" s="42">
        <f>ROUND($B244*T$199,2)</f>
        <v>0.01</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3.4420000000000006E-3</v>
      </c>
      <c r="AC244" s="94" t="str">
        <f>+F244</f>
        <v>SH0</v>
      </c>
    </row>
    <row r="245" spans="1:29" ht="13" x14ac:dyDescent="0.3">
      <c r="A245" s="96"/>
      <c r="B245" s="97">
        <v>-1</v>
      </c>
      <c r="C245" s="9"/>
      <c r="F245" s="36"/>
      <c r="G245" s="98"/>
      <c r="H245" s="19"/>
      <c r="I245" s="19"/>
      <c r="J245" s="104"/>
      <c r="K245" s="104"/>
      <c r="L245" s="104"/>
      <c r="M245" s="87"/>
      <c r="N245" s="87"/>
      <c r="O245" s="87"/>
      <c r="P245" s="87"/>
      <c r="Q245" s="87"/>
      <c r="R245" s="87"/>
      <c r="S245" s="50">
        <v>0.5</v>
      </c>
      <c r="T245" s="98"/>
      <c r="U245" s="98"/>
      <c r="V245" s="87"/>
      <c r="W245" s="98"/>
      <c r="X245" s="98"/>
      <c r="Y245" s="98"/>
      <c r="Z245" s="98"/>
      <c r="AA245" s="98"/>
      <c r="AB245" s="19"/>
      <c r="AC245" s="105"/>
    </row>
    <row r="246" spans="1:29" ht="13" x14ac:dyDescent="0.3">
      <c r="A246" s="96"/>
      <c r="B246" s="103">
        <f>IF(AND('AES Indiana Bill Calc.'!$D$17="SH",'AES Indiana Bill Calc.'!$D$18="Yes 50%",'AES Indiana Bill Calc.'!$D$20="Yes 2020"),'AES Indiana Bill Calc.'!$D$19,-1)</f>
        <v>-1</v>
      </c>
      <c r="C246" s="1" t="s">
        <v>149</v>
      </c>
      <c r="F246" s="36" t="s">
        <v>178</v>
      </c>
      <c r="G246" s="17">
        <f>SUM(J246:M246,O246:P246,R246:AA246)</f>
        <v>54.89</v>
      </c>
      <c r="H246" s="19" t="e">
        <f>IF(ISBLANK(B246),0,+#REF!/B246)</f>
        <v>#REF!</v>
      </c>
      <c r="I246" s="19"/>
      <c r="J246" s="82">
        <f>IF(ISBLANK(B246),0,+J$199)</f>
        <v>55</v>
      </c>
      <c r="K246" s="82">
        <f>ROUND($B246*K$199,2)</f>
        <v>-0.12</v>
      </c>
      <c r="L246" s="82"/>
      <c r="M246" s="41"/>
      <c r="N246" s="17">
        <f>SUM(K246:L246)</f>
        <v>-0.12</v>
      </c>
      <c r="O246" s="41"/>
      <c r="P246" s="41"/>
      <c r="Q246" s="41"/>
      <c r="R246" s="41"/>
      <c r="S246" s="42">
        <f>ROUND($B246*S$199*S245,2)</f>
        <v>0</v>
      </c>
      <c r="T246" s="42">
        <f>ROUND($B246*T$199,2)</f>
        <v>0.01</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3.4420000000000006E-3</v>
      </c>
      <c r="AC246" s="94" t="str">
        <f>+F246</f>
        <v>SH0</v>
      </c>
    </row>
    <row r="247" spans="1:29" ht="13" x14ac:dyDescent="0.3">
      <c r="A247" s="96"/>
      <c r="B247" s="97">
        <v>-1</v>
      </c>
      <c r="C247" s="9"/>
      <c r="F247" s="36"/>
      <c r="G247" s="98"/>
      <c r="H247" s="19"/>
      <c r="I247" s="19"/>
      <c r="J247" s="104"/>
      <c r="K247" s="104"/>
      <c r="L247" s="104"/>
      <c r="M247" s="87"/>
      <c r="N247" s="87"/>
      <c r="O247" s="87"/>
      <c r="P247" s="87"/>
      <c r="Q247" s="87"/>
      <c r="R247" s="87"/>
      <c r="S247" s="50">
        <v>0.25</v>
      </c>
      <c r="T247" s="98"/>
      <c r="U247" s="98"/>
      <c r="V247" s="87"/>
      <c r="W247" s="98"/>
      <c r="X247" s="98"/>
      <c r="Y247" s="98"/>
      <c r="Z247" s="98"/>
      <c r="AA247" s="98"/>
      <c r="AB247" s="19"/>
      <c r="AC247" s="105"/>
    </row>
    <row r="248" spans="1:29" ht="13" x14ac:dyDescent="0.3">
      <c r="A248" s="96"/>
      <c r="B248" s="103">
        <f>IF(AND('AES Indiana Bill Calc.'!$D$17="SH",'AES Indiana Bill Calc.'!$D$18="Yes 25%",'AES Indiana Bill Calc.'!$D$20="Yes 2020"),'AES Indiana Bill Calc.'!$D$19,-1)</f>
        <v>-1</v>
      </c>
      <c r="C248" s="1" t="s">
        <v>150</v>
      </c>
      <c r="F248" s="36" t="s">
        <v>178</v>
      </c>
      <c r="G248" s="17">
        <f>SUM(J248:M248,O248:P248,R248:AA248)</f>
        <v>54.89</v>
      </c>
      <c r="H248" s="19" t="e">
        <f>IF(ISBLANK(B248),0,+#REF!/B248)</f>
        <v>#REF!</v>
      </c>
      <c r="I248" s="19"/>
      <c r="J248" s="82">
        <f>IF(ISBLANK(B248),0,+J$199)</f>
        <v>55</v>
      </c>
      <c r="K248" s="82">
        <f>ROUND($B248*K$199,2)</f>
        <v>-0.12</v>
      </c>
      <c r="L248" s="82"/>
      <c r="M248" s="41"/>
      <c r="N248" s="17">
        <f>SUM(K248:L248)</f>
        <v>-0.12</v>
      </c>
      <c r="O248" s="41"/>
      <c r="P248" s="41"/>
      <c r="Q248" s="41"/>
      <c r="R248" s="41"/>
      <c r="S248" s="42">
        <f>ROUND($B248*S$199*S247,2)</f>
        <v>0</v>
      </c>
      <c r="T248" s="42">
        <f>ROUND($B248*T$199,2)</f>
        <v>0.01</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3.4420000000000006E-3</v>
      </c>
      <c r="AC248" s="94" t="str">
        <f>+F248</f>
        <v>SH0</v>
      </c>
    </row>
    <row r="249" spans="1:29" ht="13" x14ac:dyDescent="0.3">
      <c r="A249" s="96"/>
      <c r="B249" s="97">
        <v>-1</v>
      </c>
      <c r="C249" s="9"/>
      <c r="F249" s="36"/>
      <c r="G249" s="98"/>
      <c r="H249" s="19"/>
      <c r="I249" s="19"/>
      <c r="J249" s="104"/>
      <c r="K249" s="104"/>
      <c r="L249" s="104"/>
      <c r="M249" s="87"/>
      <c r="N249" s="87"/>
      <c r="O249" s="87"/>
      <c r="P249" s="87"/>
      <c r="Q249" s="87"/>
      <c r="R249" s="87"/>
      <c r="S249" s="50">
        <v>0.1</v>
      </c>
      <c r="T249" s="98"/>
      <c r="U249" s="98"/>
      <c r="V249" s="87"/>
      <c r="W249" s="98"/>
      <c r="X249" s="98"/>
      <c r="Y249" s="98"/>
      <c r="Z249" s="98"/>
      <c r="AA249" s="98"/>
      <c r="AB249" s="19"/>
      <c r="AC249" s="105"/>
    </row>
    <row r="250" spans="1:29" ht="13" x14ac:dyDescent="0.3">
      <c r="A250" s="96"/>
      <c r="B250" s="103">
        <f>IF(AND('AES Indiana Bill Calc.'!$D$17="SH",'AES Indiana Bill Calc.'!$D$18="Yes 10%",'AES Indiana Bill Calc.'!$D$20="Yes 2020"),'AES Indiana Bill Calc.'!$D$19,-1)</f>
        <v>-1</v>
      </c>
      <c r="C250" s="1" t="s">
        <v>164</v>
      </c>
      <c r="F250" s="36" t="s">
        <v>178</v>
      </c>
      <c r="G250" s="17">
        <f>SUM(J250:M250,O250:P250,R250:AA250)</f>
        <v>54.89</v>
      </c>
      <c r="H250" s="19" t="e">
        <f>IF(ISBLANK(B250),0,+#REF!/B250)</f>
        <v>#REF!</v>
      </c>
      <c r="I250" s="19"/>
      <c r="J250" s="82">
        <f>IF(ISBLANK(B250),0,+J$199)</f>
        <v>55</v>
      </c>
      <c r="K250" s="82">
        <f>ROUND($B250*K$199,2)</f>
        <v>-0.12</v>
      </c>
      <c r="L250" s="82"/>
      <c r="M250" s="41"/>
      <c r="N250" s="17">
        <f>SUM(K250:L250)</f>
        <v>-0.12</v>
      </c>
      <c r="O250" s="41"/>
      <c r="P250" s="41"/>
      <c r="Q250" s="41"/>
      <c r="R250" s="41"/>
      <c r="S250" s="42">
        <f>ROUND($B250*S$199*S249,2)</f>
        <v>0</v>
      </c>
      <c r="T250" s="42">
        <f>ROUND($B250*T$199,2)</f>
        <v>0.01</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3.4420000000000006E-3</v>
      </c>
      <c r="AC250" s="94" t="str">
        <f>+F250</f>
        <v>SH0</v>
      </c>
    </row>
    <row r="251" spans="1:29" ht="13" x14ac:dyDescent="0.3">
      <c r="A251" s="96"/>
      <c r="B251" s="97">
        <v>-1</v>
      </c>
      <c r="C251" s="9"/>
      <c r="F251" s="36"/>
      <c r="G251" s="98"/>
      <c r="H251" s="19"/>
      <c r="I251" s="19"/>
      <c r="J251" s="104"/>
      <c r="K251" s="104"/>
      <c r="L251" s="104"/>
      <c r="M251" s="87"/>
      <c r="N251" s="87"/>
      <c r="O251" s="87"/>
      <c r="P251" s="87"/>
      <c r="Q251" s="87"/>
      <c r="R251" s="87"/>
      <c r="S251" s="50">
        <v>0</v>
      </c>
      <c r="T251" s="98"/>
      <c r="U251" s="98"/>
      <c r="V251" s="87"/>
      <c r="W251" s="98"/>
      <c r="X251" s="98"/>
      <c r="Y251" s="98"/>
      <c r="Z251" s="98"/>
      <c r="AA251" s="98"/>
      <c r="AB251" s="19"/>
      <c r="AC251" s="105"/>
    </row>
    <row r="252" spans="1:29" ht="13" x14ac:dyDescent="0.3">
      <c r="A252" s="96"/>
      <c r="B252" s="103">
        <f>IF(AND('AES Indiana Bill Calc.'!$D$17="SH",'AES Indiana Bill Calc.'!$D$18="No",'AES Indiana Bill Calc.'!$D$20="Yes 2020"),'AES Indiana Bill Calc.'!$D$19,-1)</f>
        <v>-1</v>
      </c>
      <c r="C252" s="1" t="s">
        <v>147</v>
      </c>
      <c r="F252" s="36" t="s">
        <v>178</v>
      </c>
      <c r="G252" s="17">
        <f>SUM(J252:M252,O252:P252,R252:AA252)</f>
        <v>54.89</v>
      </c>
      <c r="H252" s="19" t="e">
        <f>IF(ISBLANK(B252),0,+#REF!/B252)</f>
        <v>#REF!</v>
      </c>
      <c r="I252" s="19"/>
      <c r="J252" s="82">
        <f>IF(ISBLANK(B252),0,+J$199)</f>
        <v>55</v>
      </c>
      <c r="K252" s="82">
        <f>ROUND($B252*K$199,2)</f>
        <v>-0.12</v>
      </c>
      <c r="L252" s="82"/>
      <c r="M252" s="41"/>
      <c r="N252" s="17">
        <f>SUM(K252:L252)</f>
        <v>-0.12</v>
      </c>
      <c r="O252" s="41"/>
      <c r="P252" s="41"/>
      <c r="Q252" s="41"/>
      <c r="R252" s="41"/>
      <c r="S252" s="42">
        <f>ROUND($B252*S$199*S251,2)</f>
        <v>0</v>
      </c>
      <c r="T252" s="42">
        <f>ROUND($B252*T$199,2)</f>
        <v>0.01</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3.4420000000000006E-3</v>
      </c>
      <c r="AC252" s="94" t="str">
        <f>+F252</f>
        <v>SH0</v>
      </c>
    </row>
    <row r="253" spans="1:29" ht="13" x14ac:dyDescent="0.3">
      <c r="A253" s="96"/>
      <c r="B253" s="97">
        <v>-1</v>
      </c>
      <c r="C253" s="97"/>
      <c r="F253" s="36"/>
      <c r="G253" s="98"/>
      <c r="H253" s="19"/>
      <c r="I253" s="19"/>
      <c r="J253" s="104"/>
      <c r="K253" s="104"/>
      <c r="L253" s="104"/>
      <c r="M253" s="87"/>
      <c r="N253" s="87"/>
      <c r="O253" s="87"/>
      <c r="P253" s="87"/>
      <c r="Q253" s="87"/>
      <c r="R253" s="87"/>
      <c r="S253" s="50">
        <v>1</v>
      </c>
      <c r="T253" s="98"/>
      <c r="U253" s="98"/>
      <c r="V253" s="87"/>
      <c r="W253" s="98"/>
      <c r="X253" s="98"/>
      <c r="Y253" s="98"/>
      <c r="Z253" s="98"/>
      <c r="AA253" s="98"/>
      <c r="AB253" s="19"/>
      <c r="AC253" s="105"/>
    </row>
    <row r="254" spans="1:29" ht="13" x14ac:dyDescent="0.3">
      <c r="A254" s="96"/>
      <c r="B254" s="103">
        <f>IF(AND('AES Indiana Bill Calc.'!$D$17="SH",'AES Indiana Bill Calc.'!$D$18="Yes 100%",'AES Indiana Bill Calc.'!$D$20="Yes 2021"),'AES Indiana Bill Calc.'!$D$19,-1)</f>
        <v>-1</v>
      </c>
      <c r="C254" s="1" t="s">
        <v>148</v>
      </c>
      <c r="F254" s="36" t="s">
        <v>179</v>
      </c>
      <c r="G254" s="17">
        <f>SUM(J254:M254,O254:P254,R254:AA254)</f>
        <v>54.89</v>
      </c>
      <c r="H254" s="19" t="e">
        <f>IF(ISBLANK(B254),0,+#REF!/B254)</f>
        <v>#REF!</v>
      </c>
      <c r="I254" s="19"/>
      <c r="J254" s="82">
        <f>IF(ISBLANK(B254),0,+J$199)</f>
        <v>55</v>
      </c>
      <c r="K254" s="82">
        <f>ROUND($B254*K$199,2)</f>
        <v>-0.12</v>
      </c>
      <c r="L254" s="82"/>
      <c r="M254" s="41"/>
      <c r="N254" s="17">
        <f>SUM(K254:L254)</f>
        <v>-0.12</v>
      </c>
      <c r="O254" s="41"/>
      <c r="P254" s="41"/>
      <c r="Q254" s="41"/>
      <c r="R254" s="41"/>
      <c r="S254" s="42">
        <f>ROUND($B254*S$199*S253,2)</f>
        <v>0</v>
      </c>
      <c r="T254" s="42">
        <f>ROUND($B254*T$199,2)</f>
        <v>0.01</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3.4420000000000006E-3</v>
      </c>
      <c r="AC254" s="94" t="str">
        <f>+F254</f>
        <v>SH1</v>
      </c>
    </row>
    <row r="255" spans="1:29" ht="13" x14ac:dyDescent="0.3">
      <c r="A255" s="96"/>
      <c r="B255" s="97">
        <v>-1</v>
      </c>
      <c r="C255" s="9"/>
      <c r="F255" s="36"/>
      <c r="G255" s="98"/>
      <c r="H255" s="19"/>
      <c r="I255" s="19"/>
      <c r="J255" s="104"/>
      <c r="K255" s="104"/>
      <c r="L255" s="104"/>
      <c r="M255" s="87"/>
      <c r="N255" s="87"/>
      <c r="O255" s="87"/>
      <c r="P255" s="87"/>
      <c r="Q255" s="87"/>
      <c r="R255" s="87"/>
      <c r="S255" s="50">
        <v>0.5</v>
      </c>
      <c r="T255" s="98"/>
      <c r="U255" s="98"/>
      <c r="V255" s="87"/>
      <c r="W255" s="98"/>
      <c r="X255" s="98"/>
      <c r="Y255" s="98"/>
      <c r="Z255" s="98"/>
      <c r="AA255" s="98"/>
      <c r="AB255" s="19"/>
      <c r="AC255" s="105"/>
    </row>
    <row r="256" spans="1:29" ht="13" x14ac:dyDescent="0.3">
      <c r="A256" s="96"/>
      <c r="B256" s="103">
        <f>IF(AND('AES Indiana Bill Calc.'!$D$17="SH",'AES Indiana Bill Calc.'!$D$18="Yes 50%",'AES Indiana Bill Calc.'!$D$20="Yes 2021"),'AES Indiana Bill Calc.'!$D$19,-1)</f>
        <v>-1</v>
      </c>
      <c r="C256" s="1" t="s">
        <v>149</v>
      </c>
      <c r="F256" s="36" t="s">
        <v>179</v>
      </c>
      <c r="G256" s="17">
        <f>SUM(J256:M256,O256:P256,R256:AA256)</f>
        <v>54.89</v>
      </c>
      <c r="H256" s="19" t="e">
        <f>IF(ISBLANK(B256),0,+#REF!/B256)</f>
        <v>#REF!</v>
      </c>
      <c r="I256" s="19"/>
      <c r="J256" s="82">
        <f>IF(ISBLANK(B256),0,+J$199)</f>
        <v>55</v>
      </c>
      <c r="K256" s="82">
        <f>ROUND($B256*K$199,2)</f>
        <v>-0.12</v>
      </c>
      <c r="L256" s="82"/>
      <c r="M256" s="41"/>
      <c r="N256" s="17">
        <f>SUM(K256:L256)</f>
        <v>-0.12</v>
      </c>
      <c r="O256" s="41"/>
      <c r="P256" s="41"/>
      <c r="Q256" s="41"/>
      <c r="R256" s="41"/>
      <c r="S256" s="42">
        <f>ROUND($B256*S$199*S255,2)</f>
        <v>0</v>
      </c>
      <c r="T256" s="42">
        <f>ROUND($B256*T$199,2)</f>
        <v>0.01</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3.4420000000000006E-3</v>
      </c>
      <c r="AC256" s="94" t="str">
        <f>+F256</f>
        <v>SH1</v>
      </c>
    </row>
    <row r="257" spans="1:29" ht="13" x14ac:dyDescent="0.3">
      <c r="A257" s="96"/>
      <c r="B257" s="97">
        <v>-1</v>
      </c>
      <c r="C257" s="9"/>
      <c r="F257" s="36"/>
      <c r="G257" s="98"/>
      <c r="H257" s="19"/>
      <c r="I257" s="19"/>
      <c r="J257" s="104"/>
      <c r="K257" s="104"/>
      <c r="L257" s="104"/>
      <c r="M257" s="87"/>
      <c r="N257" s="87"/>
      <c r="O257" s="87"/>
      <c r="P257" s="87"/>
      <c r="Q257" s="87"/>
      <c r="R257" s="87"/>
      <c r="S257" s="50">
        <v>0.25</v>
      </c>
      <c r="T257" s="98"/>
      <c r="U257" s="98"/>
      <c r="V257" s="87"/>
      <c r="W257" s="98"/>
      <c r="X257" s="98"/>
      <c r="Y257" s="98"/>
      <c r="Z257" s="98"/>
      <c r="AA257" s="98"/>
      <c r="AB257" s="19"/>
      <c r="AC257" s="105"/>
    </row>
    <row r="258" spans="1:29" ht="13" x14ac:dyDescent="0.3">
      <c r="A258" s="96"/>
      <c r="B258" s="103">
        <f>IF(AND('AES Indiana Bill Calc.'!$D$17="SH",'AES Indiana Bill Calc.'!$D$18="Yes 25%",'AES Indiana Bill Calc.'!$D$20="Yes 2021"),'AES Indiana Bill Calc.'!$D$19,-1)</f>
        <v>-1</v>
      </c>
      <c r="C258" s="1" t="s">
        <v>150</v>
      </c>
      <c r="F258" s="36" t="s">
        <v>179</v>
      </c>
      <c r="G258" s="17">
        <f>SUM(J258:M258,O258:P258,R258:AA258)</f>
        <v>54.89</v>
      </c>
      <c r="H258" s="19" t="e">
        <f>IF(ISBLANK(B258),0,+#REF!/B258)</f>
        <v>#REF!</v>
      </c>
      <c r="I258" s="19"/>
      <c r="J258" s="82">
        <f>IF(ISBLANK(B258),0,+J$199)</f>
        <v>55</v>
      </c>
      <c r="K258" s="82">
        <f>ROUND($B258*K$199,2)</f>
        <v>-0.12</v>
      </c>
      <c r="L258" s="82"/>
      <c r="M258" s="41"/>
      <c r="N258" s="17">
        <f>SUM(K258:L258)</f>
        <v>-0.12</v>
      </c>
      <c r="O258" s="41"/>
      <c r="P258" s="41"/>
      <c r="Q258" s="41"/>
      <c r="R258" s="41"/>
      <c r="S258" s="42">
        <f>ROUND($B258*S$199*S257,2)</f>
        <v>0</v>
      </c>
      <c r="T258" s="42">
        <f>ROUND($B258*T$199,2)</f>
        <v>0.01</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3.4420000000000006E-3</v>
      </c>
      <c r="AC258" s="94" t="str">
        <f>+F258</f>
        <v>SH1</v>
      </c>
    </row>
    <row r="259" spans="1:29" ht="13" x14ac:dyDescent="0.3">
      <c r="A259" s="96"/>
      <c r="B259" s="97">
        <v>-1</v>
      </c>
      <c r="C259" s="9"/>
      <c r="F259" s="36"/>
      <c r="G259" s="98"/>
      <c r="H259" s="19"/>
      <c r="I259" s="19"/>
      <c r="J259" s="104"/>
      <c r="K259" s="104"/>
      <c r="L259" s="104"/>
      <c r="M259" s="87"/>
      <c r="N259" s="87"/>
      <c r="O259" s="87"/>
      <c r="P259" s="87"/>
      <c r="Q259" s="87"/>
      <c r="R259" s="87"/>
      <c r="S259" s="50">
        <v>0.1</v>
      </c>
      <c r="T259" s="98"/>
      <c r="U259" s="98"/>
      <c r="V259" s="87"/>
      <c r="W259" s="98"/>
      <c r="X259" s="98"/>
      <c r="Y259" s="98"/>
      <c r="Z259" s="98"/>
      <c r="AA259" s="98"/>
      <c r="AB259" s="19"/>
      <c r="AC259" s="105"/>
    </row>
    <row r="260" spans="1:29" ht="13" x14ac:dyDescent="0.3">
      <c r="A260" s="96"/>
      <c r="B260" s="103">
        <f>IF(AND('AES Indiana Bill Calc.'!$D$17="SH",'AES Indiana Bill Calc.'!$D$18="Yes 10%",'AES Indiana Bill Calc.'!$D$20="Yes 2021"),'AES Indiana Bill Calc.'!$D$19,-1)</f>
        <v>-1</v>
      </c>
      <c r="C260" s="1" t="s">
        <v>164</v>
      </c>
      <c r="F260" s="36" t="s">
        <v>179</v>
      </c>
      <c r="G260" s="17">
        <f>SUM(J260:M260,O260:P260,R260:AA260)</f>
        <v>54.89</v>
      </c>
      <c r="H260" s="19" t="e">
        <f>IF(ISBLANK(B260),0,+#REF!/B260)</f>
        <v>#REF!</v>
      </c>
      <c r="I260" s="19"/>
      <c r="J260" s="82">
        <f>IF(ISBLANK(B260),0,+J$199)</f>
        <v>55</v>
      </c>
      <c r="K260" s="82">
        <f>ROUND($B260*K$199,2)</f>
        <v>-0.12</v>
      </c>
      <c r="L260" s="82"/>
      <c r="M260" s="41"/>
      <c r="N260" s="17">
        <f>SUM(K260:L260)</f>
        <v>-0.12</v>
      </c>
      <c r="O260" s="41"/>
      <c r="P260" s="41"/>
      <c r="Q260" s="41"/>
      <c r="R260" s="41"/>
      <c r="S260" s="42">
        <f>ROUND($B260*S$199*S259,2)</f>
        <v>0</v>
      </c>
      <c r="T260" s="42">
        <f>ROUND($B260*T$199,2)</f>
        <v>0.01</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3.4420000000000006E-3</v>
      </c>
      <c r="AC260" s="94" t="str">
        <f>+F260</f>
        <v>SH1</v>
      </c>
    </row>
    <row r="261" spans="1:29" ht="13" x14ac:dyDescent="0.3">
      <c r="A261" s="96"/>
      <c r="B261" s="97">
        <v>-1</v>
      </c>
      <c r="C261" s="9"/>
      <c r="F261" s="36"/>
      <c r="G261" s="98"/>
      <c r="H261" s="19"/>
      <c r="I261" s="19"/>
      <c r="J261" s="104"/>
      <c r="K261" s="104"/>
      <c r="L261" s="104"/>
      <c r="M261" s="87"/>
      <c r="N261" s="87"/>
      <c r="O261" s="87"/>
      <c r="P261" s="87"/>
      <c r="Q261" s="87"/>
      <c r="R261" s="87"/>
      <c r="S261" s="50">
        <v>0</v>
      </c>
      <c r="T261" s="98"/>
      <c r="U261" s="98"/>
      <c r="V261" s="87"/>
      <c r="W261" s="98"/>
      <c r="X261" s="98"/>
      <c r="Y261" s="98"/>
      <c r="Z261" s="98"/>
      <c r="AA261" s="98"/>
      <c r="AB261" s="19"/>
      <c r="AC261" s="105"/>
    </row>
    <row r="262" spans="1:29" ht="13" x14ac:dyDescent="0.3">
      <c r="A262" s="96"/>
      <c r="B262" s="103">
        <f>IF(AND('AES Indiana Bill Calc.'!$D$17="SH",'AES Indiana Bill Calc.'!$D$18="No",'AES Indiana Bill Calc.'!$D$20="Yes 2021"),'AES Indiana Bill Calc.'!$D$19,-1)</f>
        <v>-1</v>
      </c>
      <c r="C262" s="1" t="s">
        <v>147</v>
      </c>
      <c r="F262" s="36" t="s">
        <v>179</v>
      </c>
      <c r="G262" s="17">
        <f>SUM(J262:M262,O262:P262,R262:AA262)</f>
        <v>54.89</v>
      </c>
      <c r="H262" s="19" t="e">
        <f>IF(ISBLANK(B262),0,+#REF!/B262)</f>
        <v>#REF!</v>
      </c>
      <c r="I262" s="19"/>
      <c r="J262" s="82">
        <f>IF(ISBLANK(B262),0,+J$199)</f>
        <v>55</v>
      </c>
      <c r="K262" s="82">
        <f>ROUND($B262*K$199,2)</f>
        <v>-0.12</v>
      </c>
      <c r="L262" s="82"/>
      <c r="M262" s="41"/>
      <c r="N262" s="17">
        <f>SUM(K262:L262)</f>
        <v>-0.12</v>
      </c>
      <c r="O262" s="41"/>
      <c r="P262" s="41"/>
      <c r="Q262" s="41"/>
      <c r="R262" s="41"/>
      <c r="S262" s="42">
        <f>ROUND($B262*S$199*S261,2)</f>
        <v>0</v>
      </c>
      <c r="T262" s="42">
        <f>ROUND($B262*T$199,2)</f>
        <v>0.01</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3.4420000000000006E-3</v>
      </c>
      <c r="AC262" s="94" t="str">
        <f>+F262</f>
        <v>SH1</v>
      </c>
    </row>
    <row r="263" spans="1:29" ht="13" x14ac:dyDescent="0.3">
      <c r="A263" s="96"/>
      <c r="B263" s="97">
        <v>-1</v>
      </c>
      <c r="C263" s="97"/>
      <c r="F263" s="36"/>
      <c r="G263" s="98"/>
      <c r="H263" s="19"/>
      <c r="I263" s="19"/>
      <c r="J263" s="104"/>
      <c r="K263" s="104"/>
      <c r="L263" s="104"/>
      <c r="M263" s="87"/>
      <c r="N263" s="87"/>
      <c r="O263" s="87"/>
      <c r="P263" s="87"/>
      <c r="Q263" s="87"/>
      <c r="R263" s="87"/>
      <c r="S263" s="50">
        <v>1</v>
      </c>
      <c r="T263" s="98"/>
      <c r="U263" s="98"/>
      <c r="V263" s="87"/>
      <c r="W263" s="98"/>
      <c r="X263" s="98"/>
      <c r="Y263" s="98"/>
      <c r="Z263" s="98"/>
      <c r="AA263" s="98"/>
      <c r="AB263" s="19"/>
      <c r="AC263" s="105"/>
    </row>
    <row r="264" spans="1:29" ht="13" x14ac:dyDescent="0.3">
      <c r="A264" s="96"/>
      <c r="B264" s="103">
        <f>IF(AND('AES Indiana Bill Calc.'!$D$17="SH",'AES Indiana Bill Calc.'!$D$18="Yes 100%",'AES Indiana Bill Calc.'!$D$20="Yes 2022"),'AES Indiana Bill Calc.'!$D$19,-1)</f>
        <v>-1</v>
      </c>
      <c r="C264" s="1" t="s">
        <v>148</v>
      </c>
      <c r="F264" s="36" t="s">
        <v>180</v>
      </c>
      <c r="G264" s="17">
        <f>SUM(J264:M264,O264:P264,R264:AA264)</f>
        <v>54.89</v>
      </c>
      <c r="H264" s="19" t="e">
        <f>IF(ISBLANK(B264),0,+#REF!/B264)</f>
        <v>#REF!</v>
      </c>
      <c r="I264" s="19"/>
      <c r="J264" s="82">
        <f>IF(ISBLANK(B264),0,+J$199)</f>
        <v>55</v>
      </c>
      <c r="K264" s="82">
        <f>ROUND($B264*K$199,2)</f>
        <v>-0.12</v>
      </c>
      <c r="L264" s="82"/>
      <c r="M264" s="41"/>
      <c r="N264" s="17">
        <f>SUM(K264:L264)</f>
        <v>-0.12</v>
      </c>
      <c r="O264" s="41"/>
      <c r="P264" s="41"/>
      <c r="Q264" s="41"/>
      <c r="R264" s="41"/>
      <c r="S264" s="42">
        <f>ROUND($B264*S$199*S263,2)</f>
        <v>0</v>
      </c>
      <c r="T264" s="42">
        <f>ROUND($B264*T$199,2)</f>
        <v>0.01</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3.4420000000000006E-3</v>
      </c>
      <c r="AC264" s="94" t="str">
        <f>+F264</f>
        <v>SH2</v>
      </c>
    </row>
    <row r="265" spans="1:29" ht="13" x14ac:dyDescent="0.3">
      <c r="A265" s="96"/>
      <c r="B265" s="97">
        <v>-1</v>
      </c>
      <c r="C265" s="9"/>
      <c r="F265" s="36"/>
      <c r="G265" s="98"/>
      <c r="H265" s="19"/>
      <c r="I265" s="19"/>
      <c r="J265" s="104"/>
      <c r="K265" s="104"/>
      <c r="L265" s="104"/>
      <c r="M265" s="87"/>
      <c r="N265" s="87"/>
      <c r="O265" s="87"/>
      <c r="P265" s="87"/>
      <c r="Q265" s="87"/>
      <c r="R265" s="87"/>
      <c r="S265" s="50">
        <v>0.5</v>
      </c>
      <c r="T265" s="98"/>
      <c r="U265" s="98"/>
      <c r="V265" s="87"/>
      <c r="W265" s="98"/>
      <c r="X265" s="98"/>
      <c r="Y265" s="98"/>
      <c r="Z265" s="98"/>
      <c r="AA265" s="98"/>
      <c r="AB265" s="19"/>
      <c r="AC265" s="105"/>
    </row>
    <row r="266" spans="1:29" ht="13" x14ac:dyDescent="0.3">
      <c r="A266" s="96"/>
      <c r="B266" s="103">
        <f>IF(AND('AES Indiana Bill Calc.'!$D$17="SH",'AES Indiana Bill Calc.'!$D$18="Yes 50%",'AES Indiana Bill Calc.'!$D$20="Yes 2022"),'AES Indiana Bill Calc.'!$D$19,-1)</f>
        <v>-1</v>
      </c>
      <c r="C266" s="1" t="s">
        <v>149</v>
      </c>
      <c r="F266" s="36" t="s">
        <v>180</v>
      </c>
      <c r="G266" s="17">
        <f>SUM(J266:M266,O266:P266,R266:AA266)</f>
        <v>54.89</v>
      </c>
      <c r="H266" s="19" t="e">
        <f>IF(ISBLANK(B266),0,+#REF!/B266)</f>
        <v>#REF!</v>
      </c>
      <c r="I266" s="19"/>
      <c r="J266" s="82">
        <f>IF(ISBLANK(B266),0,+J$199)</f>
        <v>55</v>
      </c>
      <c r="K266" s="82">
        <f>ROUND($B266*K$199,2)</f>
        <v>-0.12</v>
      </c>
      <c r="L266" s="82"/>
      <c r="M266" s="41"/>
      <c r="N266" s="17">
        <f>SUM(K266:L266)</f>
        <v>-0.12</v>
      </c>
      <c r="O266" s="41"/>
      <c r="P266" s="41"/>
      <c r="Q266" s="41"/>
      <c r="R266" s="41"/>
      <c r="S266" s="42">
        <f>ROUND($B266*S$199*S265,2)</f>
        <v>0</v>
      </c>
      <c r="T266" s="42">
        <f>ROUND($B266*T$199,2)</f>
        <v>0.01</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3.4420000000000006E-3</v>
      </c>
      <c r="AC266" s="94" t="str">
        <f>+F266</f>
        <v>SH2</v>
      </c>
    </row>
    <row r="267" spans="1:29" ht="13" x14ac:dyDescent="0.3">
      <c r="A267" s="96"/>
      <c r="B267" s="97">
        <v>-1</v>
      </c>
      <c r="C267" s="9"/>
      <c r="F267" s="36"/>
      <c r="G267" s="98"/>
      <c r="H267" s="19"/>
      <c r="I267" s="19"/>
      <c r="J267" s="104"/>
      <c r="K267" s="104"/>
      <c r="L267" s="104"/>
      <c r="M267" s="87"/>
      <c r="N267" s="87"/>
      <c r="O267" s="87"/>
      <c r="P267" s="87"/>
      <c r="Q267" s="87"/>
      <c r="R267" s="87"/>
      <c r="S267" s="50">
        <v>0.25</v>
      </c>
      <c r="T267" s="98"/>
      <c r="U267" s="98"/>
      <c r="V267" s="87"/>
      <c r="W267" s="98"/>
      <c r="X267" s="98"/>
      <c r="Y267" s="98"/>
      <c r="Z267" s="98"/>
      <c r="AA267" s="98"/>
      <c r="AB267" s="19"/>
      <c r="AC267" s="105"/>
    </row>
    <row r="268" spans="1:29" ht="13" x14ac:dyDescent="0.3">
      <c r="A268" s="96"/>
      <c r="B268" s="103">
        <f>IF(AND('AES Indiana Bill Calc.'!$D$17="SH",'AES Indiana Bill Calc.'!$D$18="Yes 25%",'AES Indiana Bill Calc.'!$D$20="Yes 2022"),'AES Indiana Bill Calc.'!$D$19,-1)</f>
        <v>-1</v>
      </c>
      <c r="C268" s="1" t="s">
        <v>150</v>
      </c>
      <c r="F268" s="36" t="s">
        <v>180</v>
      </c>
      <c r="G268" s="17">
        <f>SUM(J268:M268,O268:P268,R268:AA268)</f>
        <v>54.89</v>
      </c>
      <c r="H268" s="19" t="e">
        <f>IF(ISBLANK(B268),0,+#REF!/B268)</f>
        <v>#REF!</v>
      </c>
      <c r="I268" s="19"/>
      <c r="J268" s="82">
        <f>IF(ISBLANK(B268),0,+J$199)</f>
        <v>55</v>
      </c>
      <c r="K268" s="82">
        <f>ROUND($B268*K$199,2)</f>
        <v>-0.12</v>
      </c>
      <c r="L268" s="82"/>
      <c r="M268" s="41"/>
      <c r="N268" s="17">
        <f>SUM(K268:L268)</f>
        <v>-0.12</v>
      </c>
      <c r="O268" s="41"/>
      <c r="P268" s="41"/>
      <c r="Q268" s="41"/>
      <c r="R268" s="41"/>
      <c r="S268" s="42">
        <f>ROUND($B268*S$199*S267,2)</f>
        <v>0</v>
      </c>
      <c r="T268" s="42">
        <f>ROUND($B268*T$199,2)</f>
        <v>0.01</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3.4420000000000006E-3</v>
      </c>
      <c r="AC268" s="94" t="str">
        <f>+F268</f>
        <v>SH2</v>
      </c>
    </row>
    <row r="269" spans="1:29" ht="13" x14ac:dyDescent="0.3">
      <c r="A269" s="96"/>
      <c r="B269" s="97">
        <v>-1</v>
      </c>
      <c r="C269" s="9"/>
      <c r="F269" s="36"/>
      <c r="G269" s="98"/>
      <c r="H269" s="19"/>
      <c r="I269" s="19"/>
      <c r="J269" s="104"/>
      <c r="K269" s="104"/>
      <c r="L269" s="104"/>
      <c r="M269" s="87"/>
      <c r="N269" s="87"/>
      <c r="O269" s="87"/>
      <c r="P269" s="87"/>
      <c r="Q269" s="87"/>
      <c r="R269" s="87"/>
      <c r="S269" s="50">
        <v>0.1</v>
      </c>
      <c r="T269" s="98"/>
      <c r="U269" s="98"/>
      <c r="V269" s="87"/>
      <c r="W269" s="98"/>
      <c r="X269" s="98"/>
      <c r="Y269" s="98"/>
      <c r="Z269" s="98"/>
      <c r="AA269" s="98"/>
      <c r="AB269" s="19"/>
      <c r="AC269" s="105"/>
    </row>
    <row r="270" spans="1:29" ht="13" x14ac:dyDescent="0.3">
      <c r="A270" s="96"/>
      <c r="B270" s="103">
        <f>IF(AND('AES Indiana Bill Calc.'!$D$17="SH",'AES Indiana Bill Calc.'!$D$18="Yes 10%",'AES Indiana Bill Calc.'!$D$20="Yes 2022"),'AES Indiana Bill Calc.'!$D$19,-1)</f>
        <v>-1</v>
      </c>
      <c r="C270" s="1" t="s">
        <v>164</v>
      </c>
      <c r="F270" s="36" t="s">
        <v>180</v>
      </c>
      <c r="G270" s="17">
        <f>SUM(J270:M270,O270:P270,R270:AA270)</f>
        <v>54.89</v>
      </c>
      <c r="H270" s="19" t="e">
        <f>IF(ISBLANK(B270),0,+#REF!/B270)</f>
        <v>#REF!</v>
      </c>
      <c r="I270" s="19"/>
      <c r="J270" s="82">
        <f>IF(ISBLANK(B270),0,+J$199)</f>
        <v>55</v>
      </c>
      <c r="K270" s="82">
        <f>ROUND($B270*K$199,2)</f>
        <v>-0.12</v>
      </c>
      <c r="L270" s="82"/>
      <c r="M270" s="41"/>
      <c r="N270" s="17">
        <f>SUM(K270:L270)</f>
        <v>-0.12</v>
      </c>
      <c r="O270" s="41"/>
      <c r="P270" s="41"/>
      <c r="Q270" s="41"/>
      <c r="R270" s="41"/>
      <c r="S270" s="42">
        <f>ROUND($B270*S$199*S269,2)</f>
        <v>0</v>
      </c>
      <c r="T270" s="42">
        <f>ROUND($B270*T$199,2)</f>
        <v>0.01</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3.4420000000000006E-3</v>
      </c>
      <c r="AC270" s="94" t="str">
        <f>+F270</f>
        <v>SH2</v>
      </c>
    </row>
    <row r="271" spans="1:29" ht="13" x14ac:dyDescent="0.3">
      <c r="A271" s="96"/>
      <c r="B271" s="97">
        <v>-1</v>
      </c>
      <c r="C271" s="9"/>
      <c r="F271" s="36"/>
      <c r="G271" s="98"/>
      <c r="H271" s="19"/>
      <c r="I271" s="19"/>
      <c r="J271" s="104"/>
      <c r="K271" s="104"/>
      <c r="L271" s="104"/>
      <c r="M271" s="87"/>
      <c r="N271" s="87"/>
      <c r="O271" s="87"/>
      <c r="P271" s="87"/>
      <c r="Q271" s="87"/>
      <c r="R271" s="87"/>
      <c r="S271" s="50">
        <v>0</v>
      </c>
      <c r="T271" s="98"/>
      <c r="U271" s="98"/>
      <c r="V271" s="87"/>
      <c r="W271" s="98"/>
      <c r="X271" s="98"/>
      <c r="Y271" s="98"/>
      <c r="Z271" s="98"/>
      <c r="AA271" s="98"/>
      <c r="AB271" s="19"/>
      <c r="AC271" s="105"/>
    </row>
    <row r="272" spans="1:29" ht="13" x14ac:dyDescent="0.3">
      <c r="A272" s="96"/>
      <c r="B272" s="103">
        <f>IF(AND('AES Indiana Bill Calc.'!$D$17="SH",'AES Indiana Bill Calc.'!$D$18="No",'AES Indiana Bill Calc.'!$D$20="Yes 2022"),'AES Indiana Bill Calc.'!$D$19,-1)</f>
        <v>-1</v>
      </c>
      <c r="C272" s="1" t="s">
        <v>147</v>
      </c>
      <c r="F272" s="36" t="s">
        <v>180</v>
      </c>
      <c r="G272" s="17">
        <f>SUM(J272:M272,O272:P272,R272:AA272)</f>
        <v>54.89</v>
      </c>
      <c r="H272" s="19" t="e">
        <f>IF(ISBLANK(B272),0,+#REF!/B272)</f>
        <v>#REF!</v>
      </c>
      <c r="I272" s="19"/>
      <c r="J272" s="82">
        <f>IF(ISBLANK(B272),0,+J$199)</f>
        <v>55</v>
      </c>
      <c r="K272" s="82">
        <f>ROUND($B272*K$199,2)</f>
        <v>-0.12</v>
      </c>
      <c r="L272" s="82"/>
      <c r="M272" s="41"/>
      <c r="N272" s="17">
        <f>SUM(K272:L272)</f>
        <v>-0.12</v>
      </c>
      <c r="O272" s="41"/>
      <c r="P272" s="41"/>
      <c r="Q272" s="41"/>
      <c r="R272" s="41"/>
      <c r="S272" s="42">
        <f>ROUND($B272*S$199*S271,2)</f>
        <v>0</v>
      </c>
      <c r="T272" s="42">
        <f>ROUND($B272*T$199,2)</f>
        <v>0.01</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3.4420000000000006E-3</v>
      </c>
      <c r="AC272" s="94" t="str">
        <f>+F272</f>
        <v>SH2</v>
      </c>
    </row>
    <row r="273" spans="1:29" ht="13" x14ac:dyDescent="0.3">
      <c r="A273" s="96"/>
      <c r="B273" s="103">
        <v>-1</v>
      </c>
      <c r="C273" s="1"/>
      <c r="F273" s="36"/>
      <c r="G273" s="17"/>
      <c r="H273" s="19"/>
      <c r="I273" s="19"/>
      <c r="J273" s="82"/>
      <c r="K273" s="82"/>
      <c r="L273" s="82"/>
      <c r="M273" s="41"/>
      <c r="N273" s="17"/>
      <c r="O273" s="41"/>
      <c r="P273" s="41"/>
      <c r="Q273" s="41"/>
      <c r="R273" s="41"/>
      <c r="S273" s="50">
        <v>1</v>
      </c>
      <c r="T273" s="42"/>
      <c r="U273" s="42"/>
      <c r="V273" s="41"/>
      <c r="W273" s="42"/>
      <c r="X273" s="42"/>
      <c r="Y273" s="42"/>
      <c r="Z273" s="42"/>
      <c r="AA273" s="42"/>
      <c r="AB273" s="19"/>
      <c r="AC273" s="94"/>
    </row>
    <row r="274" spans="1:29" ht="13" x14ac:dyDescent="0.3">
      <c r="A274" s="96"/>
      <c r="B274" s="103">
        <f>IF(AND('AES Indiana Bill Calc.'!$D$17="SH",'AES Indiana Bill Calc.'!$D$18="Yes 100%",'AES Indiana Bill Calc.'!$D$20="Yes 2023"),'AES Indiana Bill Calc.'!$D$19,-1)</f>
        <v>-1</v>
      </c>
      <c r="C274" s="1" t="s">
        <v>148</v>
      </c>
      <c r="F274" s="36" t="s">
        <v>181</v>
      </c>
      <c r="G274" s="17">
        <f>SUM(J274:M274,O274:P274,R274:AA274)</f>
        <v>54.89</v>
      </c>
      <c r="H274" s="19" t="e">
        <f>IF(ISBLANK(B274),0,+#REF!/B274)</f>
        <v>#REF!</v>
      </c>
      <c r="I274" s="19"/>
      <c r="J274" s="82">
        <f>IF(ISBLANK(B274),0,+J$199)</f>
        <v>55</v>
      </c>
      <c r="K274" s="82">
        <f>ROUND($B274*K$199,2)</f>
        <v>-0.12</v>
      </c>
      <c r="L274" s="82"/>
      <c r="M274" s="41"/>
      <c r="N274" s="17">
        <f>SUM(K274:L274)</f>
        <v>-0.12</v>
      </c>
      <c r="O274" s="41"/>
      <c r="P274" s="41"/>
      <c r="Q274" s="41"/>
      <c r="R274" s="41"/>
      <c r="S274" s="42">
        <f>ROUND($B274*S$199*S273,2)</f>
        <v>0</v>
      </c>
      <c r="T274" s="42">
        <f>ROUND($B274*T$199,2)</f>
        <v>0.01</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3.4420000000000006E-3</v>
      </c>
      <c r="AC274" s="94" t="str">
        <f>+F274</f>
        <v>SH3</v>
      </c>
    </row>
    <row r="275" spans="1:29" ht="13" x14ac:dyDescent="0.3">
      <c r="A275" s="96"/>
      <c r="B275" s="97">
        <v>-1</v>
      </c>
      <c r="C275" s="9"/>
      <c r="F275" s="36"/>
      <c r="G275" s="98"/>
      <c r="H275" s="19"/>
      <c r="I275" s="19"/>
      <c r="J275" s="104"/>
      <c r="K275" s="104"/>
      <c r="L275" s="104"/>
      <c r="M275" s="87"/>
      <c r="N275" s="87"/>
      <c r="O275" s="87"/>
      <c r="P275" s="87"/>
      <c r="Q275" s="87"/>
      <c r="R275" s="87"/>
      <c r="S275" s="50">
        <v>0.5</v>
      </c>
      <c r="T275" s="98"/>
      <c r="U275" s="98"/>
      <c r="V275" s="87"/>
      <c r="W275" s="98"/>
      <c r="X275" s="98"/>
      <c r="Y275" s="98"/>
      <c r="Z275" s="98"/>
      <c r="AA275" s="98"/>
      <c r="AB275" s="19"/>
      <c r="AC275" s="105"/>
    </row>
    <row r="276" spans="1:29" ht="13" x14ac:dyDescent="0.3">
      <c r="A276" s="96"/>
      <c r="B276" s="103">
        <f>IF(AND('AES Indiana Bill Calc.'!$D$17="SH",'AES Indiana Bill Calc.'!$D$18="Yes 50%",'AES Indiana Bill Calc.'!$D$20="Yes 2023"),'AES Indiana Bill Calc.'!$D$19,-1)</f>
        <v>-1</v>
      </c>
      <c r="C276" s="1" t="s">
        <v>149</v>
      </c>
      <c r="F276" s="36" t="s">
        <v>181</v>
      </c>
      <c r="G276" s="17">
        <f>SUM(J276:M276,O276:P276,R276:AA276)</f>
        <v>54.89</v>
      </c>
      <c r="H276" s="19" t="e">
        <f>IF(ISBLANK(B276),0,+#REF!/B276)</f>
        <v>#REF!</v>
      </c>
      <c r="I276" s="19"/>
      <c r="J276" s="82">
        <f>IF(ISBLANK(B276),0,+J$199)</f>
        <v>55</v>
      </c>
      <c r="K276" s="82">
        <f>ROUND($B276*K$199,2)</f>
        <v>-0.12</v>
      </c>
      <c r="L276" s="82"/>
      <c r="M276" s="41"/>
      <c r="N276" s="17">
        <f>SUM(K276:L276)</f>
        <v>-0.12</v>
      </c>
      <c r="O276" s="41"/>
      <c r="P276" s="41"/>
      <c r="Q276" s="41"/>
      <c r="R276" s="41"/>
      <c r="S276" s="42">
        <f>ROUND($B276*S$199*S275,2)</f>
        <v>0</v>
      </c>
      <c r="T276" s="42">
        <f>ROUND($B276*T$199,2)</f>
        <v>0.01</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3.4420000000000006E-3</v>
      </c>
      <c r="AC276" s="94" t="str">
        <f>+F276</f>
        <v>SH3</v>
      </c>
    </row>
    <row r="277" spans="1:29" ht="13" x14ac:dyDescent="0.3">
      <c r="A277" s="96"/>
      <c r="B277" s="97">
        <v>-1</v>
      </c>
      <c r="C277" s="9"/>
      <c r="F277" s="36"/>
      <c r="G277" s="98"/>
      <c r="H277" s="19"/>
      <c r="I277" s="19"/>
      <c r="J277" s="104"/>
      <c r="K277" s="104"/>
      <c r="L277" s="104"/>
      <c r="M277" s="87"/>
      <c r="N277" s="87"/>
      <c r="O277" s="87"/>
      <c r="P277" s="87"/>
      <c r="Q277" s="87"/>
      <c r="R277" s="87"/>
      <c r="S277" s="50">
        <v>0.25</v>
      </c>
      <c r="T277" s="98"/>
      <c r="U277" s="98"/>
      <c r="V277" s="87"/>
      <c r="W277" s="98"/>
      <c r="X277" s="98"/>
      <c r="Y277" s="98"/>
      <c r="Z277" s="98"/>
      <c r="AA277" s="98"/>
      <c r="AB277" s="19"/>
      <c r="AC277" s="105"/>
    </row>
    <row r="278" spans="1:29" ht="13" x14ac:dyDescent="0.3">
      <c r="A278" s="96"/>
      <c r="B278" s="103">
        <f>IF(AND('AES Indiana Bill Calc.'!$D$17="SH",'AES Indiana Bill Calc.'!$D$18="Yes 25%",'AES Indiana Bill Calc.'!$D$20="Yes 2023"),'AES Indiana Bill Calc.'!$D$19,-1)</f>
        <v>-1</v>
      </c>
      <c r="C278" s="1" t="s">
        <v>150</v>
      </c>
      <c r="F278" s="36" t="s">
        <v>181</v>
      </c>
      <c r="G278" s="17">
        <f>SUM(J278:M278,O278:P278,R278:AA278)</f>
        <v>54.89</v>
      </c>
      <c r="H278" s="19" t="e">
        <f>IF(ISBLANK(B278),0,+#REF!/B278)</f>
        <v>#REF!</v>
      </c>
      <c r="I278" s="19"/>
      <c r="J278" s="82">
        <f>IF(ISBLANK(B278),0,+J$199)</f>
        <v>55</v>
      </c>
      <c r="K278" s="82">
        <f>ROUND($B278*K$199,2)</f>
        <v>-0.12</v>
      </c>
      <c r="L278" s="82"/>
      <c r="M278" s="41"/>
      <c r="N278" s="17">
        <f>SUM(K278:L278)</f>
        <v>-0.12</v>
      </c>
      <c r="O278" s="41"/>
      <c r="P278" s="41"/>
      <c r="Q278" s="41"/>
      <c r="R278" s="41"/>
      <c r="S278" s="42">
        <f>ROUND($B278*S$199*S277,2)</f>
        <v>0</v>
      </c>
      <c r="T278" s="42">
        <f>ROUND($B278*T$199,2)</f>
        <v>0.01</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3.4420000000000006E-3</v>
      </c>
      <c r="AC278" s="94" t="str">
        <f>+F278</f>
        <v>SH3</v>
      </c>
    </row>
    <row r="279" spans="1:29" ht="13" x14ac:dyDescent="0.3">
      <c r="A279" s="96"/>
      <c r="B279" s="97">
        <v>-1</v>
      </c>
      <c r="C279" s="9"/>
      <c r="F279" s="36"/>
      <c r="G279" s="98"/>
      <c r="H279" s="19"/>
      <c r="I279" s="19"/>
      <c r="J279" s="104"/>
      <c r="K279" s="104"/>
      <c r="L279" s="104"/>
      <c r="M279" s="87"/>
      <c r="N279" s="87"/>
      <c r="O279" s="87"/>
      <c r="P279" s="87"/>
      <c r="Q279" s="87"/>
      <c r="R279" s="87"/>
      <c r="S279" s="50">
        <v>0.1</v>
      </c>
      <c r="T279" s="98"/>
      <c r="U279" s="98"/>
      <c r="V279" s="87"/>
      <c r="W279" s="98"/>
      <c r="X279" s="98"/>
      <c r="Y279" s="98"/>
      <c r="Z279" s="98"/>
      <c r="AA279" s="98"/>
      <c r="AB279" s="19"/>
      <c r="AC279" s="105"/>
    </row>
    <row r="280" spans="1:29" ht="13" x14ac:dyDescent="0.3">
      <c r="A280" s="96"/>
      <c r="B280" s="103">
        <f>IF(AND('AES Indiana Bill Calc.'!$D$17="SH",'AES Indiana Bill Calc.'!$D$18="Yes 10%",'AES Indiana Bill Calc.'!$D$20="Yes 2023"),'AES Indiana Bill Calc.'!$D$19,-1)</f>
        <v>-1</v>
      </c>
      <c r="C280" s="1" t="s">
        <v>164</v>
      </c>
      <c r="F280" s="36" t="s">
        <v>181</v>
      </c>
      <c r="G280" s="17">
        <f>SUM(J280:M280,O280:P280,R280:AA280)</f>
        <v>54.89</v>
      </c>
      <c r="H280" s="19" t="e">
        <f>IF(ISBLANK(B280),0,+#REF!/B280)</f>
        <v>#REF!</v>
      </c>
      <c r="I280" s="19"/>
      <c r="J280" s="82">
        <f>IF(ISBLANK(B280),0,+J$199)</f>
        <v>55</v>
      </c>
      <c r="K280" s="82">
        <f>ROUND($B280*K$199,2)</f>
        <v>-0.12</v>
      </c>
      <c r="L280" s="82"/>
      <c r="M280" s="41"/>
      <c r="N280" s="17">
        <f>SUM(K280:L280)</f>
        <v>-0.12</v>
      </c>
      <c r="O280" s="41"/>
      <c r="P280" s="41"/>
      <c r="Q280" s="41"/>
      <c r="R280" s="41"/>
      <c r="S280" s="42">
        <f>ROUND($B280*S$199*S279,2)</f>
        <v>0</v>
      </c>
      <c r="T280" s="42">
        <f>ROUND($B280*T$199,2)</f>
        <v>0.01</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3.4420000000000006E-3</v>
      </c>
      <c r="AC280" s="94" t="str">
        <f>+F280</f>
        <v>SH3</v>
      </c>
    </row>
    <row r="281" spans="1:29" ht="13" x14ac:dyDescent="0.3">
      <c r="A281" s="96"/>
      <c r="B281" s="97">
        <v>-1</v>
      </c>
      <c r="C281" s="9"/>
      <c r="F281" s="36"/>
      <c r="G281" s="98"/>
      <c r="H281" s="19"/>
      <c r="I281" s="19"/>
      <c r="J281" s="104"/>
      <c r="K281" s="104"/>
      <c r="L281" s="104"/>
      <c r="M281" s="87"/>
      <c r="N281" s="87"/>
      <c r="O281" s="87"/>
      <c r="P281" s="87"/>
      <c r="Q281" s="87"/>
      <c r="R281" s="87"/>
      <c r="S281" s="50">
        <v>0</v>
      </c>
      <c r="T281" s="98"/>
      <c r="U281" s="98"/>
      <c r="V281" s="87"/>
      <c r="W281" s="98"/>
      <c r="X281" s="98"/>
      <c r="Y281" s="98"/>
      <c r="Z281" s="98"/>
      <c r="AA281" s="98"/>
      <c r="AB281" s="19"/>
      <c r="AC281" s="105"/>
    </row>
    <row r="282" spans="1:29" ht="13" x14ac:dyDescent="0.3">
      <c r="A282" s="96"/>
      <c r="B282" s="103">
        <f>IF(AND('AES Indiana Bill Calc.'!$D$17="SH",'AES Indiana Bill Calc.'!$D$18="No",'AES Indiana Bill Calc.'!$D$20="Yes 2023"),'AES Indiana Bill Calc.'!$D$19,-1)</f>
        <v>-1</v>
      </c>
      <c r="C282" s="1" t="s">
        <v>147</v>
      </c>
      <c r="F282" s="36" t="s">
        <v>181</v>
      </c>
      <c r="G282" s="17">
        <f>SUM(J282:M282,O282:P282,R282:AA282)</f>
        <v>54.89</v>
      </c>
      <c r="H282" s="19" t="e">
        <f>IF(ISBLANK(B282),0,+#REF!/B282)</f>
        <v>#REF!</v>
      </c>
      <c r="I282" s="19"/>
      <c r="J282" s="82">
        <f>IF(ISBLANK(B282),0,+J$199)</f>
        <v>55</v>
      </c>
      <c r="K282" s="82">
        <f>ROUND($B282*K$199,2)</f>
        <v>-0.12</v>
      </c>
      <c r="L282" s="82"/>
      <c r="M282" s="41"/>
      <c r="N282" s="17">
        <f>SUM(K282:L282)</f>
        <v>-0.12</v>
      </c>
      <c r="O282" s="41"/>
      <c r="P282" s="41"/>
      <c r="Q282" s="41"/>
      <c r="R282" s="41"/>
      <c r="S282" s="42">
        <f>ROUND($B282*S$199*S281,2)</f>
        <v>0</v>
      </c>
      <c r="T282" s="42">
        <f>ROUND($B282*T$199,2)</f>
        <v>0.01</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3.4420000000000006E-3</v>
      </c>
      <c r="AC282" s="94" t="str">
        <f>+F282</f>
        <v>SH3</v>
      </c>
    </row>
    <row r="283" spans="1:29" ht="13" x14ac:dyDescent="0.3">
      <c r="A283" s="96"/>
      <c r="B283" s="103">
        <v>-1</v>
      </c>
      <c r="C283" s="1"/>
      <c r="F283" s="36"/>
      <c r="G283" s="17"/>
      <c r="H283" s="19"/>
      <c r="I283" s="19"/>
      <c r="J283" s="82"/>
      <c r="K283" s="82"/>
      <c r="L283" s="82"/>
      <c r="M283" s="41"/>
      <c r="N283" s="17"/>
      <c r="O283" s="41"/>
      <c r="P283" s="41"/>
      <c r="Q283" s="41"/>
      <c r="R283" s="41"/>
      <c r="S283" s="50">
        <v>1</v>
      </c>
      <c r="T283" s="42"/>
      <c r="U283" s="42"/>
      <c r="V283" s="41"/>
      <c r="W283" s="42"/>
      <c r="X283" s="42"/>
      <c r="Y283" s="42"/>
      <c r="Z283" s="42"/>
      <c r="AA283" s="42"/>
      <c r="AB283" s="19"/>
      <c r="AC283" s="94"/>
    </row>
    <row r="284" spans="1:29" ht="13" x14ac:dyDescent="0.3">
      <c r="A284" s="96"/>
      <c r="B284" s="103">
        <f>IF(AND('AES Indiana Bill Calc.'!$D$17="SH",'AES Indiana Bill Calc.'!$D$18="Yes 100%",'AES Indiana Bill Calc.'!$D$20="Yes 2024"),'AES Indiana Bill Calc.'!$D$19,-1)</f>
        <v>-1</v>
      </c>
      <c r="C284" s="1" t="s">
        <v>148</v>
      </c>
      <c r="F284" s="36" t="s">
        <v>308</v>
      </c>
      <c r="G284" s="17">
        <f>SUM(J284:M284,O284:P284,R284:AA284)</f>
        <v>54.89</v>
      </c>
      <c r="H284" s="19" t="e">
        <f>IF(ISBLANK(B284),0,+#REF!/B284)</f>
        <v>#REF!</v>
      </c>
      <c r="I284" s="19"/>
      <c r="J284" s="82">
        <f>IF(ISBLANK(B284),0,+J$199)</f>
        <v>55</v>
      </c>
      <c r="K284" s="82">
        <f>ROUND($B284*K$199,2)</f>
        <v>-0.12</v>
      </c>
      <c r="L284" s="82"/>
      <c r="M284" s="41"/>
      <c r="N284" s="17">
        <f>SUM(K284:L284)</f>
        <v>-0.12</v>
      </c>
      <c r="O284" s="41"/>
      <c r="P284" s="41"/>
      <c r="Q284" s="41"/>
      <c r="R284" s="41"/>
      <c r="S284" s="42">
        <f>ROUND($B284*S$199*S283,2)</f>
        <v>0</v>
      </c>
      <c r="T284" s="42">
        <f>ROUND($B284*T$199,2)</f>
        <v>0.01</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3.4420000000000006E-3</v>
      </c>
      <c r="AC284" s="94" t="str">
        <f>+F284</f>
        <v>SH4</v>
      </c>
    </row>
    <row r="285" spans="1:29" ht="13" x14ac:dyDescent="0.3">
      <c r="A285" s="96"/>
      <c r="B285" s="97">
        <v>-1</v>
      </c>
      <c r="C285" s="9"/>
      <c r="F285" s="36"/>
      <c r="G285" s="98"/>
      <c r="H285" s="19"/>
      <c r="I285" s="19"/>
      <c r="J285" s="104"/>
      <c r="K285" s="104"/>
      <c r="L285" s="104"/>
      <c r="M285" s="87"/>
      <c r="N285" s="87"/>
      <c r="O285" s="87"/>
      <c r="P285" s="87"/>
      <c r="Q285" s="87"/>
      <c r="R285" s="87"/>
      <c r="S285" s="50">
        <v>0.5</v>
      </c>
      <c r="T285" s="98"/>
      <c r="U285" s="98"/>
      <c r="V285" s="87"/>
      <c r="W285" s="98"/>
      <c r="X285" s="98"/>
      <c r="Y285" s="98"/>
      <c r="Z285" s="98"/>
      <c r="AA285" s="98"/>
      <c r="AB285" s="19"/>
      <c r="AC285" s="105"/>
    </row>
    <row r="286" spans="1:29" ht="13" x14ac:dyDescent="0.3">
      <c r="A286" s="96"/>
      <c r="B286" s="103">
        <f>IF(AND('AES Indiana Bill Calc.'!$D$17="SH",'AES Indiana Bill Calc.'!$D$18="Yes 50%",'AES Indiana Bill Calc.'!$D$20="Yes 2024"),'AES Indiana Bill Calc.'!$D$19,-1)</f>
        <v>-1</v>
      </c>
      <c r="C286" s="1" t="s">
        <v>149</v>
      </c>
      <c r="F286" s="36" t="s">
        <v>308</v>
      </c>
      <c r="G286" s="17">
        <f>SUM(J286:M286,O286:P286,R286:AA286)</f>
        <v>54.89</v>
      </c>
      <c r="H286" s="19" t="e">
        <f>IF(ISBLANK(B286),0,+#REF!/B286)</f>
        <v>#REF!</v>
      </c>
      <c r="I286" s="19"/>
      <c r="J286" s="82">
        <f>IF(ISBLANK(B286),0,+J$199)</f>
        <v>55</v>
      </c>
      <c r="K286" s="82">
        <f>ROUND($B286*K$199,2)</f>
        <v>-0.12</v>
      </c>
      <c r="L286" s="82"/>
      <c r="M286" s="41"/>
      <c r="N286" s="17">
        <f>SUM(K286:L286)</f>
        <v>-0.12</v>
      </c>
      <c r="O286" s="41"/>
      <c r="P286" s="41"/>
      <c r="Q286" s="41"/>
      <c r="R286" s="41"/>
      <c r="S286" s="42">
        <f>ROUND($B286*S$199*S285,2)</f>
        <v>0</v>
      </c>
      <c r="T286" s="42">
        <f>ROUND($B286*T$199,2)</f>
        <v>0.01</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3.4420000000000006E-3</v>
      </c>
      <c r="AC286" s="94" t="str">
        <f>+F286</f>
        <v>SH4</v>
      </c>
    </row>
    <row r="287" spans="1:29" ht="13" x14ac:dyDescent="0.3">
      <c r="A287" s="96"/>
      <c r="B287" s="97">
        <v>-1</v>
      </c>
      <c r="C287" s="9"/>
      <c r="F287" s="36"/>
      <c r="G287" s="98"/>
      <c r="H287" s="19"/>
      <c r="I287" s="19"/>
      <c r="J287" s="104"/>
      <c r="K287" s="104"/>
      <c r="L287" s="104"/>
      <c r="M287" s="87"/>
      <c r="N287" s="87"/>
      <c r="O287" s="87"/>
      <c r="P287" s="87"/>
      <c r="Q287" s="87"/>
      <c r="R287" s="87"/>
      <c r="S287" s="50">
        <v>0.25</v>
      </c>
      <c r="T287" s="98"/>
      <c r="U287" s="98"/>
      <c r="V287" s="87"/>
      <c r="W287" s="98"/>
      <c r="X287" s="98"/>
      <c r="Y287" s="98"/>
      <c r="Z287" s="98"/>
      <c r="AA287" s="98"/>
      <c r="AB287" s="19"/>
      <c r="AC287" s="105"/>
    </row>
    <row r="288" spans="1:29" ht="13" x14ac:dyDescent="0.3">
      <c r="A288" s="96"/>
      <c r="B288" s="103">
        <f>IF(AND('AES Indiana Bill Calc.'!$D$17="SH",'AES Indiana Bill Calc.'!$D$18="Yes 25%",'AES Indiana Bill Calc.'!$D$20="Yes 2024"),'AES Indiana Bill Calc.'!$D$19,-1)</f>
        <v>-1</v>
      </c>
      <c r="C288" s="1" t="s">
        <v>150</v>
      </c>
      <c r="F288" s="36" t="s">
        <v>308</v>
      </c>
      <c r="G288" s="17">
        <f>SUM(J288:M288,O288:P288,R288:AA288)</f>
        <v>54.89</v>
      </c>
      <c r="H288" s="19" t="e">
        <f>IF(ISBLANK(B288),0,+#REF!/B288)</f>
        <v>#REF!</v>
      </c>
      <c r="I288" s="19"/>
      <c r="J288" s="82">
        <f>IF(ISBLANK(B288),0,+J$199)</f>
        <v>55</v>
      </c>
      <c r="K288" s="82">
        <f>ROUND($B288*K$199,2)</f>
        <v>-0.12</v>
      </c>
      <c r="L288" s="82"/>
      <c r="M288" s="41"/>
      <c r="N288" s="17">
        <f>SUM(K288:L288)</f>
        <v>-0.12</v>
      </c>
      <c r="O288" s="41"/>
      <c r="P288" s="41"/>
      <c r="Q288" s="41"/>
      <c r="R288" s="41"/>
      <c r="S288" s="42">
        <f>ROUND($B288*S$199*S287,2)</f>
        <v>0</v>
      </c>
      <c r="T288" s="42">
        <f>ROUND($B288*T$199,2)</f>
        <v>0.01</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3.4420000000000006E-3</v>
      </c>
      <c r="AC288" s="94" t="str">
        <f>+F288</f>
        <v>SH4</v>
      </c>
    </row>
    <row r="289" spans="1:29" ht="13" x14ac:dyDescent="0.3">
      <c r="A289" s="96"/>
      <c r="B289" s="97">
        <v>-1</v>
      </c>
      <c r="C289" s="9"/>
      <c r="F289" s="36"/>
      <c r="G289" s="98"/>
      <c r="H289" s="19"/>
      <c r="I289" s="19"/>
      <c r="J289" s="104"/>
      <c r="K289" s="104"/>
      <c r="L289" s="104"/>
      <c r="M289" s="87"/>
      <c r="N289" s="87"/>
      <c r="O289" s="87"/>
      <c r="P289" s="87"/>
      <c r="Q289" s="87"/>
      <c r="R289" s="87"/>
      <c r="S289" s="50">
        <v>0.1</v>
      </c>
      <c r="T289" s="98"/>
      <c r="U289" s="98"/>
      <c r="V289" s="87"/>
      <c r="W289" s="98"/>
      <c r="X289" s="98"/>
      <c r="Y289" s="98"/>
      <c r="Z289" s="98"/>
      <c r="AA289" s="98"/>
      <c r="AB289" s="19"/>
      <c r="AC289" s="105"/>
    </row>
    <row r="290" spans="1:29" ht="13" x14ac:dyDescent="0.3">
      <c r="A290" s="96"/>
      <c r="B290" s="103">
        <f>IF(AND('AES Indiana Bill Calc.'!$D$17="SH",'AES Indiana Bill Calc.'!$D$18="Yes 10%",'AES Indiana Bill Calc.'!$D$20="Yes 2024"),'AES Indiana Bill Calc.'!$D$19,-1)</f>
        <v>-1</v>
      </c>
      <c r="C290" s="1" t="s">
        <v>164</v>
      </c>
      <c r="F290" s="36" t="s">
        <v>308</v>
      </c>
      <c r="G290" s="17">
        <f>SUM(J290:M290,O290:P290,R290:AA290)</f>
        <v>54.89</v>
      </c>
      <c r="H290" s="19" t="e">
        <f>IF(ISBLANK(B290),0,+#REF!/B290)</f>
        <v>#REF!</v>
      </c>
      <c r="I290" s="19"/>
      <c r="J290" s="82">
        <f>IF(ISBLANK(B290),0,+J$199)</f>
        <v>55</v>
      </c>
      <c r="K290" s="82">
        <f>ROUND($B290*K$199,2)</f>
        <v>-0.12</v>
      </c>
      <c r="L290" s="82"/>
      <c r="M290" s="41"/>
      <c r="N290" s="17">
        <f>SUM(K290:L290)</f>
        <v>-0.12</v>
      </c>
      <c r="O290" s="41"/>
      <c r="P290" s="41"/>
      <c r="Q290" s="41"/>
      <c r="R290" s="41"/>
      <c r="S290" s="42">
        <f>ROUND($B290*S$199*S289,2)</f>
        <v>0</v>
      </c>
      <c r="T290" s="42">
        <f>ROUND($B290*T$199,2)</f>
        <v>0.01</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3.4420000000000006E-3</v>
      </c>
      <c r="AC290" s="94" t="str">
        <f>+F290</f>
        <v>SH4</v>
      </c>
    </row>
    <row r="291" spans="1:29" ht="13" x14ac:dyDescent="0.3">
      <c r="A291" s="96"/>
      <c r="B291" s="97">
        <v>-1</v>
      </c>
      <c r="C291" s="9"/>
      <c r="F291" s="36"/>
      <c r="G291" s="98"/>
      <c r="H291" s="19"/>
      <c r="I291" s="19"/>
      <c r="J291" s="104"/>
      <c r="K291" s="104"/>
      <c r="L291" s="104"/>
      <c r="M291" s="87"/>
      <c r="N291" s="87"/>
      <c r="O291" s="87"/>
      <c r="P291" s="87"/>
      <c r="Q291" s="87"/>
      <c r="R291" s="87"/>
      <c r="S291" s="50">
        <v>0</v>
      </c>
      <c r="T291" s="98"/>
      <c r="U291" s="98"/>
      <c r="V291" s="87"/>
      <c r="W291" s="98"/>
      <c r="X291" s="98"/>
      <c r="Y291" s="98"/>
      <c r="Z291" s="98"/>
      <c r="AA291" s="98"/>
      <c r="AB291" s="19"/>
      <c r="AC291" s="105"/>
    </row>
    <row r="292" spans="1:29" ht="13" x14ac:dyDescent="0.3">
      <c r="A292" s="96"/>
      <c r="B292" s="103">
        <f>IF(AND('AES Indiana Bill Calc.'!$D$17="SH",'AES Indiana Bill Calc.'!$D$18="No",'AES Indiana Bill Calc.'!$D$20="Yes 2024"),'AES Indiana Bill Calc.'!$D$19,-1)</f>
        <v>-1</v>
      </c>
      <c r="C292" s="1" t="s">
        <v>147</v>
      </c>
      <c r="F292" s="36" t="s">
        <v>308</v>
      </c>
      <c r="G292" s="17">
        <f>SUM(J292:M292,O292:P292,R292:AA292)</f>
        <v>54.89</v>
      </c>
      <c r="H292" s="19" t="e">
        <f>IF(ISBLANK(B292),0,+#REF!/B292)</f>
        <v>#REF!</v>
      </c>
      <c r="I292" s="19"/>
      <c r="J292" s="82">
        <f>IF(ISBLANK(B292),0,+J$199)</f>
        <v>55</v>
      </c>
      <c r="K292" s="82">
        <f>ROUND($B292*K$199,2)</f>
        <v>-0.12</v>
      </c>
      <c r="L292" s="82"/>
      <c r="M292" s="41"/>
      <c r="N292" s="17">
        <f>SUM(K292:L292)</f>
        <v>-0.12</v>
      </c>
      <c r="O292" s="41"/>
      <c r="P292" s="41"/>
      <c r="Q292" s="41"/>
      <c r="R292" s="41"/>
      <c r="S292" s="42">
        <f>ROUND($B292*S$199*S291,2)</f>
        <v>0</v>
      </c>
      <c r="T292" s="42">
        <f>ROUND($B292*T$199,2)</f>
        <v>0.01</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3.4420000000000006E-3</v>
      </c>
      <c r="AC292" s="94" t="str">
        <f>+F292</f>
        <v>SH4</v>
      </c>
    </row>
    <row r="293" spans="1:29" ht="13" x14ac:dyDescent="0.3">
      <c r="A293" s="96"/>
      <c r="B293" s="103">
        <v>-1</v>
      </c>
      <c r="C293" s="1"/>
      <c r="F293" s="36"/>
      <c r="G293" s="17"/>
      <c r="H293" s="19"/>
      <c r="I293" s="19"/>
      <c r="J293" s="82"/>
      <c r="K293" s="82"/>
      <c r="L293" s="82"/>
      <c r="M293" s="41"/>
      <c r="N293" s="17"/>
      <c r="O293" s="41"/>
      <c r="P293" s="41"/>
      <c r="Q293" s="41"/>
      <c r="R293" s="41"/>
      <c r="S293" s="42"/>
      <c r="T293" s="42"/>
      <c r="U293" s="42"/>
      <c r="V293" s="41"/>
      <c r="W293" s="42"/>
      <c r="X293" s="42"/>
      <c r="Y293" s="42"/>
      <c r="Z293" s="42"/>
      <c r="AA293" s="42"/>
      <c r="AB293" s="19"/>
      <c r="AC293" s="94"/>
    </row>
    <row r="294" spans="1:29" ht="13" x14ac:dyDescent="0.3">
      <c r="A294" s="96"/>
      <c r="B294" s="103">
        <v>-1</v>
      </c>
      <c r="C294" s="1"/>
      <c r="F294" s="36"/>
      <c r="G294" s="17"/>
      <c r="H294" s="19"/>
      <c r="I294" s="19"/>
      <c r="J294" s="82"/>
      <c r="K294" s="82"/>
      <c r="L294" s="82"/>
      <c r="M294" s="41"/>
      <c r="N294" s="17"/>
      <c r="O294" s="41"/>
      <c r="P294" s="41"/>
      <c r="Q294" s="41"/>
      <c r="R294" s="41"/>
      <c r="S294" s="42"/>
      <c r="T294" s="42"/>
      <c r="U294" s="42"/>
      <c r="V294" s="41"/>
      <c r="W294" s="42"/>
      <c r="X294" s="42"/>
      <c r="Y294" s="42"/>
      <c r="Z294" s="42"/>
      <c r="AA294" s="42"/>
      <c r="AB294" s="19"/>
      <c r="AC294" s="94"/>
    </row>
    <row r="295" spans="1:29" x14ac:dyDescent="0.25">
      <c r="B295" s="103">
        <v>-1</v>
      </c>
      <c r="C295" s="9"/>
      <c r="G295" s="17"/>
      <c r="H295" s="19"/>
      <c r="I295" s="19"/>
      <c r="J295" s="16"/>
      <c r="K295" s="16"/>
      <c r="L295" s="16"/>
      <c r="M295" s="8"/>
      <c r="N295" s="8"/>
      <c r="O295" s="8"/>
      <c r="P295" s="8"/>
      <c r="Q295" s="8"/>
      <c r="R295" s="8"/>
      <c r="S295" s="17"/>
      <c r="T295" s="17"/>
      <c r="U295" s="17"/>
      <c r="V295" s="27">
        <f>+T9</f>
        <v>0</v>
      </c>
      <c r="W295" s="6" t="s">
        <v>172</v>
      </c>
      <c r="X295" s="17"/>
      <c r="Y295" s="17"/>
      <c r="Z295" s="17"/>
      <c r="AA295" s="17"/>
      <c r="AB295" s="19" t="e">
        <f>+AB$199-V$199+#REF!</f>
        <v>#REF!</v>
      </c>
    </row>
    <row r="296" spans="1:29" x14ac:dyDescent="0.25">
      <c r="B296" s="103">
        <v>-1</v>
      </c>
      <c r="C296" s="9"/>
      <c r="H296" s="19"/>
      <c r="I296" s="19"/>
      <c r="J296" s="16"/>
      <c r="K296" s="16"/>
      <c r="L296" s="16"/>
      <c r="M296" s="8"/>
      <c r="N296" s="8"/>
      <c r="O296" s="8"/>
      <c r="P296" s="8"/>
      <c r="Q296" s="8"/>
      <c r="R296" s="8"/>
      <c r="S296" s="17"/>
      <c r="T296" s="17"/>
      <c r="U296" s="17"/>
      <c r="V296" s="27">
        <f>+T11</f>
        <v>0</v>
      </c>
      <c r="W296" s="6" t="s">
        <v>154</v>
      </c>
      <c r="X296" s="17"/>
      <c r="Y296" s="17"/>
      <c r="Z296" s="17"/>
      <c r="AA296" s="17"/>
      <c r="AB296" s="19">
        <f>+AB$199-V$199+V295</f>
        <v>3.8980000000000004E-3</v>
      </c>
    </row>
    <row r="297" spans="1:29" x14ac:dyDescent="0.25">
      <c r="B297" s="103">
        <v>-1</v>
      </c>
      <c r="C297" s="9"/>
      <c r="H297" s="19"/>
      <c r="I297" s="19"/>
      <c r="J297" s="16"/>
      <c r="K297" s="16"/>
      <c r="L297" s="16"/>
      <c r="M297" s="8"/>
      <c r="N297" s="8"/>
      <c r="O297" s="8"/>
      <c r="P297" s="8"/>
      <c r="Q297" s="8"/>
      <c r="R297" s="8"/>
      <c r="S297" s="17"/>
      <c r="T297" s="17"/>
      <c r="U297" s="17"/>
      <c r="V297" s="27">
        <f>+T13</f>
        <v>0</v>
      </c>
      <c r="W297" s="6" t="s">
        <v>155</v>
      </c>
      <c r="X297" s="17"/>
      <c r="Y297" s="17"/>
      <c r="Z297" s="17"/>
      <c r="AA297" s="17"/>
      <c r="AB297" s="19">
        <f>+AB$199-V$199+V296</f>
        <v>3.8980000000000004E-3</v>
      </c>
    </row>
    <row r="298" spans="1:29" x14ac:dyDescent="0.25">
      <c r="B298" s="103">
        <v>-1</v>
      </c>
      <c r="C298" s="9"/>
      <c r="H298" s="19"/>
      <c r="I298" s="19"/>
      <c r="J298" s="16"/>
      <c r="K298" s="16"/>
      <c r="L298" s="16"/>
      <c r="M298" s="8"/>
      <c r="N298" s="8"/>
      <c r="O298" s="8"/>
      <c r="P298" s="8"/>
      <c r="Q298" s="8"/>
      <c r="R298" s="8"/>
      <c r="S298" s="17"/>
      <c r="T298" s="17"/>
      <c r="U298" s="17"/>
      <c r="V298" s="27">
        <f>T15</f>
        <v>1.37E-4</v>
      </c>
      <c r="W298" s="6" t="s">
        <v>156</v>
      </c>
      <c r="X298" s="17"/>
      <c r="Y298" s="17"/>
      <c r="Z298" s="17"/>
      <c r="AA298" s="17"/>
      <c r="AB298" s="19"/>
    </row>
    <row r="299" spans="1:29" x14ac:dyDescent="0.25">
      <c r="B299" s="103">
        <v>-1</v>
      </c>
      <c r="C299" s="9"/>
      <c r="H299" s="19"/>
      <c r="I299" s="19"/>
      <c r="J299" s="16"/>
      <c r="K299" s="16"/>
      <c r="L299" s="16"/>
      <c r="M299" s="8"/>
      <c r="N299" s="8"/>
      <c r="O299" s="8"/>
      <c r="P299" s="8"/>
      <c r="Q299" s="8"/>
      <c r="R299" s="8"/>
      <c r="S299" s="17"/>
      <c r="T299" s="17"/>
      <c r="U299" s="17"/>
      <c r="V299" s="27">
        <f>$T$18</f>
        <v>-9.0000000000000002E-6</v>
      </c>
      <c r="W299" s="6" t="s">
        <v>157</v>
      </c>
      <c r="X299" s="17"/>
      <c r="Y299" s="17"/>
      <c r="Z299" s="17"/>
      <c r="AA299" s="17"/>
      <c r="AB299" s="19"/>
    </row>
    <row r="300" spans="1:29" x14ac:dyDescent="0.25">
      <c r="B300" s="103">
        <v>-1</v>
      </c>
      <c r="C300" s="9"/>
      <c r="H300" s="19"/>
      <c r="I300" s="19"/>
      <c r="J300" s="16"/>
      <c r="K300" s="16"/>
      <c r="L300" s="16"/>
      <c r="M300" s="8"/>
      <c r="N300" s="8"/>
      <c r="O300" s="8"/>
      <c r="P300" s="8"/>
      <c r="Q300" s="8"/>
      <c r="R300" s="8"/>
      <c r="S300" s="17"/>
      <c r="T300" s="17"/>
      <c r="U300" s="17"/>
      <c r="V300" s="27">
        <f>$T$20</f>
        <v>-2.5500000000000002E-4</v>
      </c>
      <c r="W300" s="6" t="s">
        <v>158</v>
      </c>
      <c r="X300" s="17"/>
      <c r="Y300" s="17"/>
      <c r="Z300" s="17"/>
      <c r="AA300" s="17"/>
      <c r="AB300" s="19"/>
    </row>
    <row r="301" spans="1:29" x14ac:dyDescent="0.25">
      <c r="B301" s="103">
        <v>-1</v>
      </c>
      <c r="C301" s="9"/>
      <c r="H301" s="19"/>
      <c r="I301" s="19"/>
      <c r="J301" s="16"/>
      <c r="K301" s="16"/>
      <c r="L301" s="16"/>
      <c r="M301" s="8"/>
      <c r="N301" s="8"/>
      <c r="O301" s="8"/>
      <c r="P301" s="8"/>
      <c r="Q301" s="8"/>
      <c r="R301" s="8"/>
      <c r="S301" s="17"/>
      <c r="T301" s="17"/>
      <c r="U301" s="17"/>
      <c r="V301" s="27">
        <f>$T$22</f>
        <v>-2.941E-3</v>
      </c>
      <c r="W301" s="6" t="s">
        <v>159</v>
      </c>
      <c r="X301" s="17"/>
      <c r="Y301" s="17"/>
      <c r="Z301" s="17"/>
      <c r="AA301" s="17"/>
      <c r="AB301" s="19"/>
    </row>
    <row r="302" spans="1:29" x14ac:dyDescent="0.25">
      <c r="B302" s="103">
        <v>-1</v>
      </c>
      <c r="C302" s="9"/>
      <c r="H302" s="19"/>
      <c r="I302" s="19"/>
      <c r="J302" s="16"/>
      <c r="K302" s="16"/>
      <c r="L302" s="16"/>
      <c r="M302" s="8"/>
      <c r="N302" s="8"/>
      <c r="O302" s="8"/>
      <c r="P302" s="8"/>
      <c r="Q302" s="8"/>
      <c r="R302" s="8"/>
      <c r="S302" s="17"/>
      <c r="T302" s="17"/>
      <c r="U302" s="17"/>
      <c r="V302" s="27">
        <f>$T$24</f>
        <v>0</v>
      </c>
      <c r="W302" s="6" t="s">
        <v>160</v>
      </c>
      <c r="X302" s="17"/>
      <c r="Y302" s="17"/>
      <c r="Z302" s="17"/>
      <c r="AA302" s="17"/>
      <c r="AB302" s="19"/>
    </row>
    <row r="303" spans="1:29" x14ac:dyDescent="0.25">
      <c r="B303" s="103">
        <v>-1</v>
      </c>
      <c r="C303" s="9"/>
      <c r="H303" s="19"/>
      <c r="I303" s="19"/>
      <c r="J303" s="16"/>
      <c r="K303" s="16"/>
      <c r="L303" s="16"/>
      <c r="M303" s="8"/>
      <c r="N303" s="8"/>
      <c r="O303" s="8"/>
      <c r="P303" s="8"/>
      <c r="Q303" s="8"/>
      <c r="R303" s="8"/>
      <c r="S303" s="17"/>
      <c r="T303" s="17"/>
      <c r="U303" s="17"/>
      <c r="V303" s="19">
        <f>T26</f>
        <v>0</v>
      </c>
      <c r="W303" s="6" t="s">
        <v>161</v>
      </c>
      <c r="X303" s="17"/>
      <c r="Y303" s="17"/>
      <c r="Z303" s="17"/>
      <c r="AA303" s="17"/>
      <c r="AB303" s="19"/>
    </row>
    <row r="304" spans="1:29" x14ac:dyDescent="0.25">
      <c r="B304" s="103"/>
      <c r="C304" s="9"/>
      <c r="H304" s="19"/>
      <c r="I304" s="19"/>
      <c r="J304" s="16"/>
      <c r="K304" s="16"/>
      <c r="L304" s="16"/>
      <c r="M304" s="8"/>
      <c r="N304" s="8"/>
      <c r="O304" s="8"/>
      <c r="P304" s="8"/>
      <c r="Q304" s="8"/>
      <c r="R304" s="8"/>
      <c r="S304" s="17"/>
      <c r="T304" s="17"/>
      <c r="U304" s="17"/>
      <c r="V304" s="19">
        <f>T28</f>
        <v>1.15E-3</v>
      </c>
      <c r="W304" s="6" t="s">
        <v>301</v>
      </c>
      <c r="X304" s="17"/>
      <c r="Y304" s="17"/>
      <c r="Z304" s="17"/>
      <c r="AA304" s="17"/>
      <c r="AB304" s="19"/>
    </row>
    <row r="305" spans="1:29" x14ac:dyDescent="0.25">
      <c r="B305" s="103">
        <v>-1</v>
      </c>
      <c r="C305" s="4"/>
      <c r="D305" s="73">
        <v>155</v>
      </c>
      <c r="F305" s="72"/>
      <c r="G305" s="70"/>
      <c r="H305" s="70"/>
      <c r="I305" s="75"/>
      <c r="J305" s="161">
        <v>55</v>
      </c>
      <c r="K305" s="162">
        <v>0.13331799999999999</v>
      </c>
      <c r="L305" s="162">
        <v>0.118838</v>
      </c>
      <c r="M305" s="162">
        <v>0.105146</v>
      </c>
      <c r="N305" s="71"/>
      <c r="O305" s="71"/>
      <c r="P305" s="71"/>
      <c r="Q305" s="71"/>
      <c r="R305" s="5"/>
      <c r="S305" s="27">
        <f>+M$4</f>
        <v>2.5999999999999999E-3</v>
      </c>
      <c r="T305" s="27">
        <f t="shared" ref="T305:AA305" si="22">+R$4</f>
        <v>-7.7250000000000001E-3</v>
      </c>
      <c r="U305" s="117">
        <f>+S$4</f>
        <v>1.523E-3</v>
      </c>
      <c r="V305" s="27">
        <f t="shared" si="22"/>
        <v>6.6499999999999997E-3</v>
      </c>
      <c r="W305" s="27">
        <f t="shared" si="22"/>
        <v>0</v>
      </c>
      <c r="X305" s="27">
        <f t="shared" si="22"/>
        <v>3.2620000000000001E-3</v>
      </c>
      <c r="Y305" s="27">
        <f t="shared" si="22"/>
        <v>-1.3760000000000001E-3</v>
      </c>
      <c r="Z305" s="27">
        <f t="shared" si="22"/>
        <v>4.8899999999999996E-4</v>
      </c>
      <c r="AA305" s="27">
        <f t="shared" si="22"/>
        <v>-4.5600000000000003E-4</v>
      </c>
      <c r="AB305" s="19">
        <f>SUM(U305:Z305)</f>
        <v>1.0548E-2</v>
      </c>
    </row>
    <row r="306" spans="1:29" x14ac:dyDescent="0.25">
      <c r="A306" s="1"/>
      <c r="B306" s="103">
        <v>-1</v>
      </c>
      <c r="C306" s="1" t="s">
        <v>182</v>
      </c>
      <c r="D306" s="151" t="s">
        <v>182</v>
      </c>
      <c r="F306" s="72"/>
      <c r="G306" s="70"/>
      <c r="H306" s="70"/>
      <c r="I306" s="75"/>
      <c r="J306" s="73"/>
      <c r="K306" s="73">
        <v>5000</v>
      </c>
      <c r="L306" s="70"/>
      <c r="M306" s="70"/>
      <c r="N306" s="70"/>
      <c r="O306" s="70"/>
      <c r="P306" s="70"/>
      <c r="Q306" s="143" t="s">
        <v>173</v>
      </c>
    </row>
    <row r="307" spans="1:29" x14ac:dyDescent="0.25">
      <c r="B307" s="103">
        <v>-1</v>
      </c>
      <c r="C307" s="33" t="s">
        <v>127</v>
      </c>
      <c r="D307" s="33" t="s">
        <v>127</v>
      </c>
      <c r="F307" s="12"/>
      <c r="I307" s="19"/>
      <c r="J307" s="12" t="s">
        <v>137</v>
      </c>
      <c r="K307" s="195" t="s">
        <v>28</v>
      </c>
      <c r="L307" s="195"/>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5">
      <c r="A308" s="13"/>
      <c r="B308" s="103" t="s">
        <v>140</v>
      </c>
      <c r="C308" s="31" t="s">
        <v>183</v>
      </c>
      <c r="D308" s="13" t="s">
        <v>140</v>
      </c>
      <c r="F308" s="13" t="s">
        <v>141</v>
      </c>
      <c r="G308" s="13" t="s">
        <v>142</v>
      </c>
      <c r="H308" s="13" t="s">
        <v>143</v>
      </c>
      <c r="I308" s="19"/>
      <c r="J308" s="13" t="s">
        <v>144</v>
      </c>
      <c r="K308" s="13" t="s">
        <v>162</v>
      </c>
      <c r="L308" s="13" t="s">
        <v>163</v>
      </c>
      <c r="M308" s="13" t="s">
        <v>184</v>
      </c>
      <c r="N308" s="143" t="s">
        <v>138</v>
      </c>
      <c r="O308" s="13"/>
      <c r="P308" s="13"/>
      <c r="Q308" s="13"/>
      <c r="R308" s="13"/>
      <c r="S308" s="13" t="s">
        <v>106</v>
      </c>
      <c r="T308" s="13" t="s">
        <v>36</v>
      </c>
      <c r="U308" s="139" t="s">
        <v>38</v>
      </c>
      <c r="V308" s="13" t="s">
        <v>107</v>
      </c>
      <c r="W308" s="13" t="s">
        <v>108</v>
      </c>
      <c r="X308" s="13" t="s">
        <v>109</v>
      </c>
      <c r="Y308" s="139" t="s">
        <v>44</v>
      </c>
      <c r="Z308" s="139" t="s">
        <v>46</v>
      </c>
      <c r="AA308" s="139" t="s">
        <v>48</v>
      </c>
      <c r="AB308" s="66" t="s">
        <v>110</v>
      </c>
    </row>
    <row r="309" spans="1:29" x14ac:dyDescent="0.25">
      <c r="B309" s="103">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ht="13" x14ac:dyDescent="0.3">
      <c r="A310" s="1" t="s">
        <v>148</v>
      </c>
      <c r="B310" s="103">
        <f>IF(AND('AES Indiana Bill Calc.'!$D$17="SE",'AES Indiana Bill Calc.'!$D$18="Yes 100%",'AES Indiana Bill Calc.'!$D$20="No"),'AES Indiana Bill Calc.'!$D$19,-1)</f>
        <v>-1</v>
      </c>
      <c r="C310" s="103" t="b">
        <f>IF(AND('AES Indiana Bill Calc.'!$D$17="SE",'AES Indiana Bill Calc.'!$D$18="Yes 100%",'AES Indiana Bill Calc.'!$D$20="No"),'AES Indiana Bill Calc.'!$D$23)</f>
        <v>0</v>
      </c>
      <c r="D310" s="2">
        <f>ROUND(C310*D$305,0)</f>
        <v>0</v>
      </c>
      <c r="F310" s="36" t="s">
        <v>57</v>
      </c>
      <c r="G310" s="17">
        <f>SUM(J310:M310,O310:P310,R310:AA310)</f>
        <v>55</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0.01</v>
      </c>
      <c r="U310" s="17">
        <f t="shared" si="23"/>
        <v>0</v>
      </c>
      <c r="V310" s="17">
        <f t="shared" si="23"/>
        <v>-0.01</v>
      </c>
      <c r="W310" s="17">
        <f t="shared" si="23"/>
        <v>0</v>
      </c>
      <c r="X310" s="17">
        <f t="shared" si="23"/>
        <v>0</v>
      </c>
      <c r="Y310" s="17">
        <f t="shared" si="23"/>
        <v>0</v>
      </c>
      <c r="Z310" s="17">
        <f t="shared" si="23"/>
        <v>0</v>
      </c>
      <c r="AA310" s="17">
        <f t="shared" si="23"/>
        <v>0</v>
      </c>
      <c r="AB310" s="19">
        <f>SUM(U305:AA305)</f>
        <v>1.0092E-2</v>
      </c>
      <c r="AC310" s="67" t="str">
        <f>+F310</f>
        <v>SE</v>
      </c>
    </row>
    <row r="311" spans="1:29" x14ac:dyDescent="0.25">
      <c r="A311" s="9"/>
      <c r="B311" s="103">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ht="13" x14ac:dyDescent="0.3">
      <c r="A312" s="1" t="s">
        <v>149</v>
      </c>
      <c r="B312" s="103">
        <f>IF(AND('AES Indiana Bill Calc.'!$D$17="SE",'AES Indiana Bill Calc.'!$D$18="Yes 50%",'AES Indiana Bill Calc.'!$D$20="No"),'AES Indiana Bill Calc.'!$D$19,-1)</f>
        <v>-1</v>
      </c>
      <c r="C312" s="103" t="b">
        <f>IF(AND('AES Indiana Bill Calc.'!$D$17="SE",'AES Indiana Bill Calc.'!$D$18="Yes 50%",'AES Indiana Bill Calc.'!$D$20="No"),'AES Indiana Bill Calc.'!$D$23)</f>
        <v>0</v>
      </c>
      <c r="D312" s="2">
        <f>ROUND(C312*D$305,0)</f>
        <v>0</v>
      </c>
      <c r="F312" s="36" t="s">
        <v>57</v>
      </c>
      <c r="G312" s="17">
        <f>SUM(J312:M312,O312:P312,R312:AA312)</f>
        <v>55</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0.01</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5">
      <c r="A313" s="9"/>
      <c r="B313" s="103">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ht="13" x14ac:dyDescent="0.3">
      <c r="A314" s="1" t="s">
        <v>150</v>
      </c>
      <c r="B314" s="103">
        <f>IF(AND('AES Indiana Bill Calc.'!$D$17="SE",'AES Indiana Bill Calc.'!$D$18="Yes 25%",'AES Indiana Bill Calc.'!$D$20="No"),'AES Indiana Bill Calc.'!$D$19,-1)</f>
        <v>-1</v>
      </c>
      <c r="C314" s="103" t="b">
        <f>IF(AND('AES Indiana Bill Calc.'!$D$17="SE",'AES Indiana Bill Calc.'!$D$18="Yes 25%",'AES Indiana Bill Calc.'!$D$20="No"),'AES Indiana Bill Calc.'!$D$23)</f>
        <v>0</v>
      </c>
      <c r="D314" s="2">
        <f>ROUND(C314*D$305,0)</f>
        <v>0</v>
      </c>
      <c r="F314" s="36" t="s">
        <v>57</v>
      </c>
      <c r="G314" s="17">
        <f>SUM(J314:M314,O314:P314,R314:AA314)</f>
        <v>55</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0.01</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5">
      <c r="A315" s="9"/>
      <c r="B315" s="103">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ht="13" x14ac:dyDescent="0.3">
      <c r="A316" s="1" t="s">
        <v>164</v>
      </c>
      <c r="B316" s="103">
        <f>IF(AND('AES Indiana Bill Calc.'!$D$17="SE",'AES Indiana Bill Calc.'!$D$18="Yes 10%",'AES Indiana Bill Calc.'!$D$20="No"),'AES Indiana Bill Calc.'!$D$19,-1)</f>
        <v>-1</v>
      </c>
      <c r="C316" s="103" t="b">
        <f>IF(AND('AES Indiana Bill Calc.'!$D$17="SE",'AES Indiana Bill Calc.'!$D$18="Yes 10%",'AES Indiana Bill Calc.'!$D$20="No"),'AES Indiana Bill Calc.'!$D$23)</f>
        <v>0</v>
      </c>
      <c r="D316" s="2">
        <f>ROUND(C316*D$305,0)</f>
        <v>0</v>
      </c>
      <c r="F316" s="36" t="s">
        <v>57</v>
      </c>
      <c r="G316" s="17">
        <f>SUM(J316:M316,O316:P316,R316:AA316)</f>
        <v>55</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0.01</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5">
      <c r="A317" s="9"/>
      <c r="B317" s="103">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ht="13" x14ac:dyDescent="0.3">
      <c r="A318" s="1" t="s">
        <v>147</v>
      </c>
      <c r="B318" s="103">
        <f>IF(AND('AES Indiana Bill Calc.'!$D$17="SE",'AES Indiana Bill Calc.'!$D$18="No",'AES Indiana Bill Calc.'!$D$20="No"),'AES Indiana Bill Calc.'!$D$19,-1)</f>
        <v>-1</v>
      </c>
      <c r="C318" s="103" t="b">
        <f>IF(AND('AES Indiana Bill Calc.'!$D$17="SE",'AES Indiana Bill Calc.'!$D$18="No",'AES Indiana Bill Calc.'!$D$20="No"),'AES Indiana Bill Calc.'!$D$23)</f>
        <v>0</v>
      </c>
      <c r="D318" s="2">
        <f>ROUND(C318*D$305,0)</f>
        <v>0</v>
      </c>
      <c r="F318" s="36" t="s">
        <v>57</v>
      </c>
      <c r="G318" s="17">
        <f>SUM(J318:M318,O318:P318,R318:AA318)</f>
        <v>55</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0.01</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5">
      <c r="B319" s="103">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ht="13" x14ac:dyDescent="0.3">
      <c r="A320" s="1" t="s">
        <v>148</v>
      </c>
      <c r="B320" s="103">
        <f>IF(AND('AES Indiana Bill Calc.'!$D$17="SE",'AES Indiana Bill Calc.'!$D$18="Yes 100%",'AES Indiana Bill Calc.'!$D$20="Yes Before 2018"),'AES Indiana Bill Calc.'!$D$19,-1)</f>
        <v>-1</v>
      </c>
      <c r="C320" s="103" t="b">
        <f>IF(AND('AES Indiana Bill Calc.'!$D$17="SE",'AES Indiana Bill Calc.'!$D$18="Yes 100%",'AES Indiana Bill Calc.'!$D$20="Yes Before 2018"),'AES Indiana Bill Calc.'!$D$23)</f>
        <v>0</v>
      </c>
      <c r="D320" s="2">
        <f>ROUND(C320*D$305,0)</f>
        <v>0</v>
      </c>
      <c r="F320" s="36" t="s">
        <v>185</v>
      </c>
      <c r="G320" s="17">
        <f>SUM(J320:M320,O320:P320,R320:AA320)</f>
        <v>55.01</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0.01</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5">
      <c r="A321" s="9"/>
      <c r="B321" s="103">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ht="13" x14ac:dyDescent="0.3">
      <c r="A322" s="1" t="s">
        <v>149</v>
      </c>
      <c r="B322" s="103">
        <f>IF(AND('AES Indiana Bill Calc.'!$D$17="SE",'AES Indiana Bill Calc.'!$D$18="Yes 50%",'AES Indiana Bill Calc.'!$D$20="Yes Before 2018"),'AES Indiana Bill Calc.'!$D$19,-1)</f>
        <v>-1</v>
      </c>
      <c r="C322" s="103" t="b">
        <f>IF(AND('AES Indiana Bill Calc.'!$D$17="SE",'AES Indiana Bill Calc.'!$D$18="Yes 50%",'AES Indiana Bill Calc.'!$D$20="Yes Before 2018"),'AES Indiana Bill Calc.'!$D$23)</f>
        <v>0</v>
      </c>
      <c r="D322" s="2">
        <f>ROUND(C322*D$305,0)</f>
        <v>0</v>
      </c>
      <c r="F322" s="36" t="s">
        <v>185</v>
      </c>
      <c r="G322" s="17">
        <f>SUM(J322:M322,O322:P322,R322:AA322)</f>
        <v>55.01</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0.01</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5">
      <c r="A323" s="9"/>
      <c r="B323" s="103">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ht="13" x14ac:dyDescent="0.3">
      <c r="A324" s="1" t="s">
        <v>150</v>
      </c>
      <c r="B324" s="103">
        <f>IF(AND('AES Indiana Bill Calc.'!$D$17="SE",'AES Indiana Bill Calc.'!$D$18="Yes 25%",'AES Indiana Bill Calc.'!$D$20="Yes Before 2018"),'AES Indiana Bill Calc.'!$D$19,-1)</f>
        <v>-1</v>
      </c>
      <c r="C324" s="103" t="b">
        <f>IF(AND('AES Indiana Bill Calc.'!$D$17="SE",'AES Indiana Bill Calc.'!$D$18="Yes 25%",'AES Indiana Bill Calc.'!$D$20="Yes Before 2018"),'AES Indiana Bill Calc.'!$D$23)</f>
        <v>0</v>
      </c>
      <c r="D324" s="2">
        <f>ROUND(C324*D$305,0)</f>
        <v>0</v>
      </c>
      <c r="F324" s="36" t="s">
        <v>185</v>
      </c>
      <c r="G324" s="17">
        <f>SUM(J324:M324,O324:P324,R324:AA324)</f>
        <v>55.01</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0.01</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5">
      <c r="A325" s="9"/>
      <c r="B325" s="103">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ht="13" x14ac:dyDescent="0.3">
      <c r="A326" s="1" t="s">
        <v>164</v>
      </c>
      <c r="B326" s="103">
        <f>IF(AND('AES Indiana Bill Calc.'!$D$17="SE",'AES Indiana Bill Calc.'!$D$18="Yes 10%",'AES Indiana Bill Calc.'!$D$20="Yes Before 2018"),'AES Indiana Bill Calc.'!$D$19,-1)</f>
        <v>-1</v>
      </c>
      <c r="C326" s="103" t="b">
        <f>IF(AND('AES Indiana Bill Calc.'!$D$17="SE",'AES Indiana Bill Calc.'!$D$18="Yes 10%",'AES Indiana Bill Calc.'!$D$20="Yes Before 2018"),'AES Indiana Bill Calc.'!$D$23)</f>
        <v>0</v>
      </c>
      <c r="D326" s="2">
        <f>ROUND(C326*D$305,0)</f>
        <v>0</v>
      </c>
      <c r="F326" s="36" t="s">
        <v>185</v>
      </c>
      <c r="G326" s="17">
        <f>SUM(J326:M326,O326:P326,R326:AA326)</f>
        <v>55.01</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0.01</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5">
      <c r="A327" s="9"/>
      <c r="B327" s="103">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ht="13" x14ac:dyDescent="0.3">
      <c r="A328" s="1" t="s">
        <v>147</v>
      </c>
      <c r="B328" s="103">
        <f>IF(AND('AES Indiana Bill Calc.'!$D$17="SE",'AES Indiana Bill Calc.'!$D$18="No",'AES Indiana Bill Calc.'!$D$20="Yes Before 2018"),'AES Indiana Bill Calc.'!$D$19,-1)</f>
        <v>-1</v>
      </c>
      <c r="C328" s="103" t="b">
        <f>IF(AND('AES Indiana Bill Calc.'!$D$17="SE",'AES Indiana Bill Calc.'!$D$18="No",'AES Indiana Bill Calc.'!$D$20="Yes Before 2018"),'AES Indiana Bill Calc.'!$D$23)</f>
        <v>0</v>
      </c>
      <c r="D328" s="2">
        <f>ROUND(C328*D$305,0)</f>
        <v>0</v>
      </c>
      <c r="F328" s="36" t="s">
        <v>185</v>
      </c>
      <c r="G328" s="17">
        <f>SUM(J328:M328,O328:P328,R328:AA328)</f>
        <v>55.01</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0.01</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5">
      <c r="B329" s="103">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ht="13" x14ac:dyDescent="0.3">
      <c r="A330" s="1" t="s">
        <v>148</v>
      </c>
      <c r="B330" s="103">
        <f>IF(AND('AES Indiana Bill Calc.'!$D$17="SE",'AES Indiana Bill Calc.'!$D$18="Yes 100%",'AES Indiana Bill Calc.'!$D$20="Yes 2018"),'AES Indiana Bill Calc.'!$D$19,-1)</f>
        <v>-1</v>
      </c>
      <c r="C330" s="103" t="b">
        <f>IF(AND('AES Indiana Bill Calc.'!$D$17="SE",'AES Indiana Bill Calc.'!$D$18="Yes 100%",'AES Indiana Bill Calc.'!$D$20="Yes 2018"),'AES Indiana Bill Calc.'!$D$23)</f>
        <v>0</v>
      </c>
      <c r="D330" s="2">
        <f>ROUND(C330*D$305,0)</f>
        <v>0</v>
      </c>
      <c r="F330" s="36" t="s">
        <v>186</v>
      </c>
      <c r="G330" s="17">
        <f>SUM(J330:M330,O330:P330,R330:AA330)</f>
        <v>55.01</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0.01</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5">
      <c r="A331" s="9"/>
      <c r="B331" s="103">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ht="13" x14ac:dyDescent="0.3">
      <c r="A332" s="1" t="s">
        <v>149</v>
      </c>
      <c r="B332" s="103">
        <f>IF(AND('AES Indiana Bill Calc.'!$D$17="SE",'AES Indiana Bill Calc.'!$D$18="Yes 50%",'AES Indiana Bill Calc.'!$D$20="Yes 2018"),'AES Indiana Bill Calc.'!$D$19,-1)</f>
        <v>-1</v>
      </c>
      <c r="C332" s="103" t="b">
        <f>IF(AND('AES Indiana Bill Calc.'!$D$17="SE",'AES Indiana Bill Calc.'!$D$18="Yes 50%",'AES Indiana Bill Calc.'!$D$20="Yes 2018"),'AES Indiana Bill Calc.'!$D$23)</f>
        <v>0</v>
      </c>
      <c r="D332" s="2">
        <f>ROUND(C332*D$305,0)</f>
        <v>0</v>
      </c>
      <c r="F332" s="36" t="s">
        <v>186</v>
      </c>
      <c r="G332" s="17">
        <f>SUM(J332:M332,O332:P332,R332:AA332)</f>
        <v>55.01</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0.01</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5">
      <c r="A333" s="9"/>
      <c r="B333" s="103">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ht="13" x14ac:dyDescent="0.3">
      <c r="A334" s="1" t="s">
        <v>150</v>
      </c>
      <c r="B334" s="103">
        <f>IF(AND('AES Indiana Bill Calc.'!$D$17="SE",'AES Indiana Bill Calc.'!$D$18="Yes 25%",'AES Indiana Bill Calc.'!$D$20="Yes 2018"),'AES Indiana Bill Calc.'!$D$19,-1)</f>
        <v>-1</v>
      </c>
      <c r="C334" s="103" t="b">
        <f>IF(AND('AES Indiana Bill Calc.'!$D$17="SE",'AES Indiana Bill Calc.'!$D$18="Yes 25%",'AES Indiana Bill Calc.'!$D$20="Yes 2018"),'AES Indiana Bill Calc.'!$D$23)</f>
        <v>0</v>
      </c>
      <c r="D334" s="2">
        <f>ROUND(C334*D$305,0)</f>
        <v>0</v>
      </c>
      <c r="F334" s="36" t="s">
        <v>186</v>
      </c>
      <c r="G334" s="17">
        <f>SUM(J334:M334,O334:P334,R334:AA334)</f>
        <v>55.01</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0.01</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5">
      <c r="A335" s="9"/>
      <c r="B335" s="103">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ht="13" x14ac:dyDescent="0.3">
      <c r="A336" s="1" t="s">
        <v>164</v>
      </c>
      <c r="B336" s="103">
        <f>IF(AND('AES Indiana Bill Calc.'!$D$17="SE",'AES Indiana Bill Calc.'!$D$18="Yes 10%",'AES Indiana Bill Calc.'!$D$20="Yes 2018"),'AES Indiana Bill Calc.'!$D$19,-1)</f>
        <v>-1</v>
      </c>
      <c r="C336" s="103" t="b">
        <f>IF(AND('AES Indiana Bill Calc.'!$D$17="SE",'AES Indiana Bill Calc.'!$D$18="Yes 10%",'AES Indiana Bill Calc.'!$D$20="Yes 2018"),'AES Indiana Bill Calc.'!$D$23)</f>
        <v>0</v>
      </c>
      <c r="D336" s="2">
        <f>ROUND(C336*D$305,0)</f>
        <v>0</v>
      </c>
      <c r="F336" s="36" t="s">
        <v>186</v>
      </c>
      <c r="G336" s="17">
        <f>SUM(J336:M336,O336:P336,R336:AA336)</f>
        <v>55.01</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0.01</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5">
      <c r="A337" s="9"/>
      <c r="B337" s="103">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ht="13" x14ac:dyDescent="0.3">
      <c r="A338" s="1" t="s">
        <v>147</v>
      </c>
      <c r="B338" s="103">
        <f>IF(AND('AES Indiana Bill Calc.'!$D$17="SE",'AES Indiana Bill Calc.'!$D$18="No",'AES Indiana Bill Calc.'!$D$20="Yes 2018"),'AES Indiana Bill Calc.'!$D$19,-1)</f>
        <v>-1</v>
      </c>
      <c r="C338" s="103" t="b">
        <f>IF(AND('AES Indiana Bill Calc.'!$D$17="SE",'AES Indiana Bill Calc.'!$D$18="No",'AES Indiana Bill Calc.'!$D$20="Yes 2018"),'AES Indiana Bill Calc.'!$D$23)</f>
        <v>0</v>
      </c>
      <c r="D338" s="2">
        <f>ROUND(C338*D$305,0)</f>
        <v>0</v>
      </c>
      <c r="F338" s="36" t="s">
        <v>186</v>
      </c>
      <c r="G338" s="17">
        <f>SUM(J338:M338,O338:P338,R338:AA338)</f>
        <v>55.01</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0.01</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5">
      <c r="B339" s="103">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ht="13" x14ac:dyDescent="0.3">
      <c r="A340" s="1" t="s">
        <v>148</v>
      </c>
      <c r="B340" s="103">
        <f>IF(AND('AES Indiana Bill Calc.'!$D$17="SE",'AES Indiana Bill Calc.'!$D$18="Yes 100%",'AES Indiana Bill Calc.'!$D$20="Yes 2019"),'AES Indiana Bill Calc.'!$D$19,-1)</f>
        <v>-1</v>
      </c>
      <c r="C340" s="103" t="b">
        <f>IF(AND('AES Indiana Bill Calc.'!$D$17="SE",'AES Indiana Bill Calc.'!$D$18="Yes 100%",'AES Indiana Bill Calc.'!$D$20="Yes 2019"),'AES Indiana Bill Calc.'!$D$23)</f>
        <v>0</v>
      </c>
      <c r="D340" s="2">
        <f>ROUND(C340*D$305,0)</f>
        <v>0</v>
      </c>
      <c r="F340" s="36" t="s">
        <v>187</v>
      </c>
      <c r="G340" s="17">
        <f>SUM(J340:M340,O340:P340,R340:AA340)</f>
        <v>55.01</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0.01</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5">
      <c r="A341" s="9"/>
      <c r="B341" s="103">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ht="13" x14ac:dyDescent="0.3">
      <c r="A342" s="1" t="s">
        <v>149</v>
      </c>
      <c r="B342" s="103">
        <f>IF(AND('AES Indiana Bill Calc.'!$D$17="SE",'AES Indiana Bill Calc.'!$D$18="Yes 50%",'AES Indiana Bill Calc.'!$D$20="Yes 2019"),'AES Indiana Bill Calc.'!$D$19,-1)</f>
        <v>-1</v>
      </c>
      <c r="C342" s="103" t="b">
        <f>IF(AND('AES Indiana Bill Calc.'!$D$17="SE",'AES Indiana Bill Calc.'!$D$18="Yes 50%",'AES Indiana Bill Calc.'!$D$20="Yes 2019"),'AES Indiana Bill Calc.'!$D$23)</f>
        <v>0</v>
      </c>
      <c r="D342" s="2">
        <f>ROUND(C342*D$305,0)</f>
        <v>0</v>
      </c>
      <c r="F342" s="36" t="s">
        <v>187</v>
      </c>
      <c r="G342" s="17">
        <f>SUM(J342:M342,O342:P342,R342:AA342)</f>
        <v>55.01</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0.01</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5">
      <c r="A343" s="9"/>
      <c r="B343" s="103">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ht="13" x14ac:dyDescent="0.3">
      <c r="A344" s="1" t="s">
        <v>150</v>
      </c>
      <c r="B344" s="103">
        <f>IF(AND('AES Indiana Bill Calc.'!$D$17="SE",'AES Indiana Bill Calc.'!$D$18="Yes 25%",'AES Indiana Bill Calc.'!$D$20="Yes 2019"),'AES Indiana Bill Calc.'!$D$19,-1)</f>
        <v>-1</v>
      </c>
      <c r="C344" s="103" t="b">
        <f>IF(AND('AES Indiana Bill Calc.'!$D$17="SE",'AES Indiana Bill Calc.'!$D$18="Yes 25%",'AES Indiana Bill Calc.'!$D$20="Yes 2019"),'AES Indiana Bill Calc.'!$D$23)</f>
        <v>0</v>
      </c>
      <c r="D344" s="2">
        <f>ROUND(C344*D$305,0)</f>
        <v>0</v>
      </c>
      <c r="F344" s="36" t="s">
        <v>187</v>
      </c>
      <c r="G344" s="17">
        <f>SUM(J344:M344,O344:P344,R344:AA344)</f>
        <v>55.01</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0.01</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5">
      <c r="A345" s="9"/>
      <c r="B345" s="103">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ht="13" x14ac:dyDescent="0.3">
      <c r="A346" s="1" t="s">
        <v>164</v>
      </c>
      <c r="B346" s="103">
        <f>IF(AND('AES Indiana Bill Calc.'!$D$17="SE",'AES Indiana Bill Calc.'!$D$18="Yes 10%",'AES Indiana Bill Calc.'!$D$20="Yes 2019"),'AES Indiana Bill Calc.'!$D$19,-1)</f>
        <v>-1</v>
      </c>
      <c r="C346" s="103" t="b">
        <f>IF(AND('AES Indiana Bill Calc.'!$D$17="SE",'AES Indiana Bill Calc.'!$D$18="Yes 10%",'AES Indiana Bill Calc.'!$D$20="Yes 2019"),'AES Indiana Bill Calc.'!$D$23)</f>
        <v>0</v>
      </c>
      <c r="D346" s="2">
        <f>ROUND(C346*D$305,0)</f>
        <v>0</v>
      </c>
      <c r="F346" s="36" t="s">
        <v>187</v>
      </c>
      <c r="G346" s="17">
        <f>SUM(J346:M346,O346:P346,R346:AA346)</f>
        <v>55.01</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0.01</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5">
      <c r="A347" s="9"/>
      <c r="B347" s="103">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ht="13" x14ac:dyDescent="0.3">
      <c r="A348" s="1" t="s">
        <v>147</v>
      </c>
      <c r="B348" s="103">
        <f>IF(AND('AES Indiana Bill Calc.'!$D$17="SE",'AES Indiana Bill Calc.'!$D$18="No",'AES Indiana Bill Calc.'!$D$20="Yes 2019"),'AES Indiana Bill Calc.'!$D$19,-1)</f>
        <v>-1</v>
      </c>
      <c r="C348" s="103" t="b">
        <f>IF(AND('AES Indiana Bill Calc.'!$D$17="SE",'AES Indiana Bill Calc.'!$D$18="No",'AES Indiana Bill Calc.'!$D$20="Yes 2019"),'AES Indiana Bill Calc.'!$D$23)</f>
        <v>0</v>
      </c>
      <c r="D348" s="2">
        <f>ROUND(C348*D$305,0)</f>
        <v>0</v>
      </c>
      <c r="F348" s="36" t="s">
        <v>187</v>
      </c>
      <c r="G348" s="17">
        <f>SUM(J348:M348,O348:P348,R348:AA348)</f>
        <v>55.01</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0.01</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5">
      <c r="B349" s="103">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ht="13" x14ac:dyDescent="0.3">
      <c r="A350" s="1" t="s">
        <v>148</v>
      </c>
      <c r="B350" s="103">
        <f>IF(AND('AES Indiana Bill Calc.'!$D$17="SE",'AES Indiana Bill Calc.'!$D$18="Yes 100%",'AES Indiana Bill Calc.'!$D$20="Yes 2020"),'AES Indiana Bill Calc.'!$D$19,-1)</f>
        <v>-1</v>
      </c>
      <c r="C350" s="103" t="b">
        <f>IF(AND('AES Indiana Bill Calc.'!$D$17="SE",'AES Indiana Bill Calc.'!$D$18="Yes 100%",'AES Indiana Bill Calc.'!$D$20="Yes 2020"),'AES Indiana Bill Calc.'!$D$23)</f>
        <v>0</v>
      </c>
      <c r="D350" s="2">
        <f>ROUND(C350*D$305,0)</f>
        <v>0</v>
      </c>
      <c r="F350" s="36" t="s">
        <v>188</v>
      </c>
      <c r="G350" s="17">
        <f>SUM(J350:M350,O350:P350,R350:AA350)</f>
        <v>55.01</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0.01</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5">
      <c r="A351" s="9"/>
      <c r="B351" s="103">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ht="13" x14ac:dyDescent="0.3">
      <c r="A352" s="1" t="s">
        <v>149</v>
      </c>
      <c r="B352" s="103">
        <f>IF(AND('AES Indiana Bill Calc.'!$D$17="SE",'AES Indiana Bill Calc.'!$D$18="Yes 50%",'AES Indiana Bill Calc.'!$D$20="Yes 2020"),'AES Indiana Bill Calc.'!$D$19,-1)</f>
        <v>-1</v>
      </c>
      <c r="C352" s="103" t="b">
        <f>IF(AND('AES Indiana Bill Calc.'!$D$17="SE",'AES Indiana Bill Calc.'!$D$18="Yes 50%",'AES Indiana Bill Calc.'!$D$20="Yes 2020"),'AES Indiana Bill Calc.'!$D$23)</f>
        <v>0</v>
      </c>
      <c r="D352" s="2">
        <f>ROUND(C352*D$305,0)</f>
        <v>0</v>
      </c>
      <c r="F352" s="36" t="s">
        <v>188</v>
      </c>
      <c r="G352" s="17">
        <f>SUM(J352:M352,O352:P352,R352:AA352)</f>
        <v>55.01</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0.01</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5">
      <c r="A353" s="9"/>
      <c r="B353" s="103">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ht="13" x14ac:dyDescent="0.3">
      <c r="A354" s="1" t="s">
        <v>150</v>
      </c>
      <c r="B354" s="103">
        <f>IF(AND('AES Indiana Bill Calc.'!$D$17="SE",'AES Indiana Bill Calc.'!$D$18="Yes 25%",'AES Indiana Bill Calc.'!$D$20="Yes 2020"),'AES Indiana Bill Calc.'!$D$19,-1)</f>
        <v>-1</v>
      </c>
      <c r="C354" s="103" t="b">
        <f>IF(AND('AES Indiana Bill Calc.'!$D$17="SE",'AES Indiana Bill Calc.'!$D$18="Yes 25%",'AES Indiana Bill Calc.'!$D$20="Yes 2020"),'AES Indiana Bill Calc.'!$D$23)</f>
        <v>0</v>
      </c>
      <c r="D354" s="2">
        <f>ROUND(C354*D$305,0)</f>
        <v>0</v>
      </c>
      <c r="F354" s="36" t="s">
        <v>188</v>
      </c>
      <c r="G354" s="17">
        <f>SUM(J354:M354,O354:P354,R354:AA354)</f>
        <v>55.01</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0.01</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5">
      <c r="A355" s="9"/>
      <c r="B355" s="103">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ht="13" x14ac:dyDescent="0.3">
      <c r="A356" s="1" t="s">
        <v>164</v>
      </c>
      <c r="B356" s="103">
        <f>IF(AND('AES Indiana Bill Calc.'!$D$17="SE",'AES Indiana Bill Calc.'!$D$18="Yes 10%",'AES Indiana Bill Calc.'!$D$20="Yes 2020"),'AES Indiana Bill Calc.'!$D$19,-1)</f>
        <v>-1</v>
      </c>
      <c r="C356" s="103" t="b">
        <f>IF(AND('AES Indiana Bill Calc.'!$D$17="SE",'AES Indiana Bill Calc.'!$D$18="Yes 10%",'AES Indiana Bill Calc.'!$D$20="Yes 2020"),'AES Indiana Bill Calc.'!$D$23)</f>
        <v>0</v>
      </c>
      <c r="D356" s="2">
        <f>ROUND(C356*D$305,0)</f>
        <v>0</v>
      </c>
      <c r="F356" s="36" t="s">
        <v>188</v>
      </c>
      <c r="G356" s="17">
        <f>SUM(J356:M356,O356:P356,R356:AA356)</f>
        <v>55.01</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0.01</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5">
      <c r="A357" s="9"/>
      <c r="B357" s="103">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ht="13" x14ac:dyDescent="0.3">
      <c r="A358" s="1" t="s">
        <v>147</v>
      </c>
      <c r="B358" s="103">
        <f>IF(AND('AES Indiana Bill Calc.'!$D$17="SE",'AES Indiana Bill Calc.'!$D$18="No",'AES Indiana Bill Calc.'!$D$20="Yes 2020"),'AES Indiana Bill Calc.'!$D$19,-1)</f>
        <v>-1</v>
      </c>
      <c r="C358" s="103" t="b">
        <f>IF(AND('AES Indiana Bill Calc.'!$D$17="SE",'AES Indiana Bill Calc.'!$D$18="No",'AES Indiana Bill Calc.'!$D$20="Yes 2020"),'AES Indiana Bill Calc.'!$D$23)</f>
        <v>0</v>
      </c>
      <c r="D358" s="2">
        <f>ROUND(C358*D$305,0)</f>
        <v>0</v>
      </c>
      <c r="F358" s="36" t="s">
        <v>188</v>
      </c>
      <c r="G358" s="17">
        <f>SUM(J358:M358,O358:P358,R358:AA358)</f>
        <v>55.01</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0.01</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5">
      <c r="B359" s="103">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ht="13" x14ac:dyDescent="0.3">
      <c r="A360" s="1" t="s">
        <v>148</v>
      </c>
      <c r="B360" s="103">
        <f>IF(AND('AES Indiana Bill Calc.'!$D$17="SE",'AES Indiana Bill Calc.'!$D$18="Yes 100%",'AES Indiana Bill Calc.'!$D$20="Yes 2021"),'AES Indiana Bill Calc.'!$D$19,-1)</f>
        <v>-1</v>
      </c>
      <c r="C360" s="103" t="b">
        <f>IF(AND('AES Indiana Bill Calc.'!$D$17="SE",'AES Indiana Bill Calc.'!$D$18="Yes 100%",'AES Indiana Bill Calc.'!$D$20="Yes 2021"),'AES Indiana Bill Calc.'!$D$23)</f>
        <v>0</v>
      </c>
      <c r="D360" s="2">
        <f>ROUND(C360*D$305,0)</f>
        <v>0</v>
      </c>
      <c r="F360" s="36" t="s">
        <v>189</v>
      </c>
      <c r="G360" s="17">
        <f>SUM(J360:M360,O360:P360,R360:AA360)</f>
        <v>55.01</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0.01</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5">
      <c r="A361" s="9"/>
      <c r="B361" s="103">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ht="13" x14ac:dyDescent="0.3">
      <c r="A362" s="1" t="s">
        <v>149</v>
      </c>
      <c r="B362" s="103">
        <f>IF(AND('AES Indiana Bill Calc.'!$D$17="SE",'AES Indiana Bill Calc.'!$D$18="Yes 50%",'AES Indiana Bill Calc.'!$D$20="Yes 2021"),'AES Indiana Bill Calc.'!$D$19,-1)</f>
        <v>-1</v>
      </c>
      <c r="C362" s="103" t="b">
        <f>IF(AND('AES Indiana Bill Calc.'!$D$17="SE",'AES Indiana Bill Calc.'!$D$18="Yes 50%",'AES Indiana Bill Calc.'!$D$20="Yes 2021"),'AES Indiana Bill Calc.'!$D$23)</f>
        <v>0</v>
      </c>
      <c r="D362" s="2">
        <f>ROUND(C362*D$305,0)</f>
        <v>0</v>
      </c>
      <c r="F362" s="36" t="s">
        <v>189</v>
      </c>
      <c r="G362" s="17">
        <f>SUM(J362:M362,O362:P362,R362:AA362)</f>
        <v>55.01</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0.01</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5">
      <c r="A363" s="9"/>
      <c r="B363" s="103">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ht="13" x14ac:dyDescent="0.3">
      <c r="A364" s="1" t="s">
        <v>150</v>
      </c>
      <c r="B364" s="103">
        <f>IF(AND('AES Indiana Bill Calc.'!$D$17="SE",'AES Indiana Bill Calc.'!$D$18="Yes 25%",'AES Indiana Bill Calc.'!$D$20="Yes 2021"),'AES Indiana Bill Calc.'!$D$19,-1)</f>
        <v>-1</v>
      </c>
      <c r="C364" s="103" t="b">
        <f>IF(AND('AES Indiana Bill Calc.'!$D$17="SE",'AES Indiana Bill Calc.'!$D$18="Yes 25%",'AES Indiana Bill Calc.'!$D$20="Yes 2021"),'AES Indiana Bill Calc.'!$D$23)</f>
        <v>0</v>
      </c>
      <c r="D364" s="2">
        <f>ROUND(C364*D$305,0)</f>
        <v>0</v>
      </c>
      <c r="F364" s="36" t="s">
        <v>189</v>
      </c>
      <c r="G364" s="17">
        <f>SUM(J364:M364,O364:P364,R364:AA364)</f>
        <v>55.01</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0.01</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5">
      <c r="A365" s="9"/>
      <c r="B365" s="103">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ht="13" x14ac:dyDescent="0.3">
      <c r="A366" s="1" t="s">
        <v>164</v>
      </c>
      <c r="B366" s="103">
        <f>IF(AND('AES Indiana Bill Calc.'!$D$17="SE",'AES Indiana Bill Calc.'!$D$18="Yes 10%",'AES Indiana Bill Calc.'!$D$20="Yes 2021"),'AES Indiana Bill Calc.'!$D$19,-1)</f>
        <v>-1</v>
      </c>
      <c r="C366" s="103" t="b">
        <f>IF(AND('AES Indiana Bill Calc.'!$D$17="SE",'AES Indiana Bill Calc.'!$D$18="Yes 10%",'AES Indiana Bill Calc.'!$D$20="Yes 2021"),'AES Indiana Bill Calc.'!$D$23)</f>
        <v>0</v>
      </c>
      <c r="D366" s="2">
        <f>ROUND(C366*D$305,0)</f>
        <v>0</v>
      </c>
      <c r="F366" s="36" t="s">
        <v>189</v>
      </c>
      <c r="G366" s="17">
        <f>SUM(J366:M366,O366:P366,R366:AA366)</f>
        <v>55.01</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0.01</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5">
      <c r="A367" s="9"/>
      <c r="B367" s="103">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ht="13" x14ac:dyDescent="0.3">
      <c r="A368" s="1" t="s">
        <v>147</v>
      </c>
      <c r="B368" s="103">
        <f>IF(AND('AES Indiana Bill Calc.'!$D$17="SE",'AES Indiana Bill Calc.'!$D$18="No",'AES Indiana Bill Calc.'!$D$20="Yes 2021"),'AES Indiana Bill Calc.'!$D$19,-1)</f>
        <v>-1</v>
      </c>
      <c r="C368" s="103" t="b">
        <f>IF(AND('AES Indiana Bill Calc.'!$D$17="SE",'AES Indiana Bill Calc.'!$D$18="No",'AES Indiana Bill Calc.'!$D$20="Yes 2021"),'AES Indiana Bill Calc.'!$D$23)</f>
        <v>0</v>
      </c>
      <c r="D368" s="2">
        <f>ROUND(C368*D$305,0)</f>
        <v>0</v>
      </c>
      <c r="F368" s="36" t="s">
        <v>189</v>
      </c>
      <c r="G368" s="17">
        <f>SUM(J368:M368,O368:P368,R368:AA368)</f>
        <v>55.01</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0.01</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5">
      <c r="B369" s="103">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ht="13" x14ac:dyDescent="0.3">
      <c r="A370" s="1" t="s">
        <v>148</v>
      </c>
      <c r="B370" s="103">
        <f>IF(AND('AES Indiana Bill Calc.'!$D$17="SE",'AES Indiana Bill Calc.'!$D$18="Yes 100%",'AES Indiana Bill Calc.'!$D$20="Yes 2022"),'AES Indiana Bill Calc.'!$D$19,-1)</f>
        <v>-1</v>
      </c>
      <c r="C370" s="103" t="b">
        <f>IF(AND('AES Indiana Bill Calc.'!$D$17="SE",'AES Indiana Bill Calc.'!$D$18="Yes 100%",'AES Indiana Bill Calc.'!$D$20="Yes 2022"),'AES Indiana Bill Calc.'!$D$23)</f>
        <v>0</v>
      </c>
      <c r="D370" s="2">
        <f>ROUND(C370*D$305,0)</f>
        <v>0</v>
      </c>
      <c r="F370" s="36" t="s">
        <v>190</v>
      </c>
      <c r="G370" s="17">
        <f>SUM(J370:M370,O370:P370,R370:AA370)</f>
        <v>55.01</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0.01</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5">
      <c r="A371" s="9"/>
      <c r="B371" s="103">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ht="13" x14ac:dyDescent="0.3">
      <c r="A372" s="1" t="s">
        <v>149</v>
      </c>
      <c r="B372" s="103">
        <f>IF(AND('AES Indiana Bill Calc.'!$D$17="SE",'AES Indiana Bill Calc.'!$D$18="Yes 50%",'AES Indiana Bill Calc.'!$D$20="Yes 2022"),'AES Indiana Bill Calc.'!$D$19,-1)</f>
        <v>-1</v>
      </c>
      <c r="C372" s="103" t="b">
        <f>IF(AND('AES Indiana Bill Calc.'!$D$17="SE",'AES Indiana Bill Calc.'!$D$18="Yes 50%",'AES Indiana Bill Calc.'!$D$20="Yes 2022"),'AES Indiana Bill Calc.'!$D$23)</f>
        <v>0</v>
      </c>
      <c r="D372" s="2">
        <f>ROUND(C372*D$305,0)</f>
        <v>0</v>
      </c>
      <c r="F372" s="36" t="s">
        <v>190</v>
      </c>
      <c r="G372" s="17">
        <f>SUM(J372:M372,O372:P372,R372:AA372)</f>
        <v>55.01</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0.01</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5">
      <c r="A373" s="9"/>
      <c r="B373" s="103">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ht="13" x14ac:dyDescent="0.3">
      <c r="A374" s="1" t="s">
        <v>150</v>
      </c>
      <c r="B374" s="103">
        <f>IF(AND('AES Indiana Bill Calc.'!$D$17="SE",'AES Indiana Bill Calc.'!$D$18="Yes 25%",'AES Indiana Bill Calc.'!$D$20="Yes 2022"),'AES Indiana Bill Calc.'!$D$19,-1)</f>
        <v>-1</v>
      </c>
      <c r="C374" s="103" t="b">
        <f>IF(AND('AES Indiana Bill Calc.'!$D$17="SE",'AES Indiana Bill Calc.'!$D$18="Yes 25%",'AES Indiana Bill Calc.'!$D$20="Yes 2022"),'AES Indiana Bill Calc.'!$D$23)</f>
        <v>0</v>
      </c>
      <c r="D374" s="2">
        <f>ROUND(C374*D$305,0)</f>
        <v>0</v>
      </c>
      <c r="F374" s="36" t="s">
        <v>190</v>
      </c>
      <c r="G374" s="17">
        <f>SUM(J374:M374,O374:P374,R374:AA374)</f>
        <v>55.01</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0.01</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5">
      <c r="A375" s="9"/>
      <c r="B375" s="103">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ht="13" x14ac:dyDescent="0.3">
      <c r="A376" s="1" t="s">
        <v>164</v>
      </c>
      <c r="B376" s="103">
        <f>IF(AND('AES Indiana Bill Calc.'!$D$17="SE",'AES Indiana Bill Calc.'!$D$18="Yes 10%",'AES Indiana Bill Calc.'!$D$20="Yes 2022"),'AES Indiana Bill Calc.'!$D$19,-1)</f>
        <v>-1</v>
      </c>
      <c r="C376" s="103" t="b">
        <f>IF(AND('AES Indiana Bill Calc.'!$D$17="SE",'AES Indiana Bill Calc.'!$D$18="Yes 10%",'AES Indiana Bill Calc.'!$D$20="Yes 2022"),'AES Indiana Bill Calc.'!$D$23)</f>
        <v>0</v>
      </c>
      <c r="D376" s="2">
        <f>ROUND(C376*D$305,0)</f>
        <v>0</v>
      </c>
      <c r="F376" s="36" t="s">
        <v>190</v>
      </c>
      <c r="G376" s="17">
        <f>SUM(J376:M376,O376:P376,R376:AA376)</f>
        <v>55.01</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0.01</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5">
      <c r="A377" s="9"/>
      <c r="B377" s="103">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ht="13" x14ac:dyDescent="0.3">
      <c r="A378" s="1" t="s">
        <v>147</v>
      </c>
      <c r="B378" s="103">
        <f>IF(AND('AES Indiana Bill Calc.'!$D$17="SE",'AES Indiana Bill Calc.'!$D$18="No",'AES Indiana Bill Calc.'!$D$20="Yes 2022"),'AES Indiana Bill Calc.'!$D$19,-1)</f>
        <v>-1</v>
      </c>
      <c r="C378" s="103" t="b">
        <f>IF(AND('AES Indiana Bill Calc.'!$D$17="SE",'AES Indiana Bill Calc.'!$D$18="No",'AES Indiana Bill Calc.'!$D$20="Yes 2022"),'AES Indiana Bill Calc.'!$D$23)</f>
        <v>0</v>
      </c>
      <c r="D378" s="2">
        <f>ROUND(C378*D$305,0)</f>
        <v>0</v>
      </c>
      <c r="F378" s="36" t="s">
        <v>190</v>
      </c>
      <c r="G378" s="17">
        <f>SUM(J378:M378,O378:P378,R378:AA378)</f>
        <v>55.01</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0.01</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ht="13" x14ac:dyDescent="0.3">
      <c r="A379" s="1"/>
      <c r="B379" s="103">
        <v>-1</v>
      </c>
      <c r="C379" s="103"/>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ht="13" x14ac:dyDescent="0.3">
      <c r="A380" s="1" t="s">
        <v>148</v>
      </c>
      <c r="B380" s="103">
        <f>IF(AND('AES Indiana Bill Calc.'!$D$17="SE",'AES Indiana Bill Calc.'!$D$18="Yes 100%",'AES Indiana Bill Calc.'!$D$20="Yes 2023"),'AES Indiana Bill Calc.'!$D$19,-1)</f>
        <v>-1</v>
      </c>
      <c r="C380" s="103" t="b">
        <f>IF(AND('AES Indiana Bill Calc.'!$D$17="SE",'AES Indiana Bill Calc.'!$D$18="Yes 100%",'AES Indiana Bill Calc.'!$D$20="Yes 2022"),'AES Indiana Bill Calc.'!$D$23)</f>
        <v>0</v>
      </c>
      <c r="D380" s="2">
        <f>ROUND(C380*D$305,0)</f>
        <v>0</v>
      </c>
      <c r="F380" s="36" t="s">
        <v>191</v>
      </c>
      <c r="G380" s="17">
        <f>SUM(J380:M380,O380:P380,R380:AA380)</f>
        <v>55.01</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0.01</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5">
      <c r="A381" s="9"/>
      <c r="B381" s="103">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ht="13" x14ac:dyDescent="0.3">
      <c r="A382" s="1" t="s">
        <v>149</v>
      </c>
      <c r="B382" s="103">
        <f>IF(AND('AES Indiana Bill Calc.'!$D$17="SE",'AES Indiana Bill Calc.'!$D$18="Yes 50%",'AES Indiana Bill Calc.'!$D$20="Yes 2023"),'AES Indiana Bill Calc.'!$D$19,-1)</f>
        <v>-1</v>
      </c>
      <c r="C382" s="103" t="b">
        <f>IF(AND('AES Indiana Bill Calc.'!$D$17="SE",'AES Indiana Bill Calc.'!$D$18="Yes 50%",'AES Indiana Bill Calc.'!$D$20="Yes 2022"),'AES Indiana Bill Calc.'!$D$23)</f>
        <v>0</v>
      </c>
      <c r="D382" s="2">
        <f>ROUND(C382*D$305,0)</f>
        <v>0</v>
      </c>
      <c r="F382" s="36" t="s">
        <v>191</v>
      </c>
      <c r="G382" s="17">
        <f>SUM(J382:M382,O382:P382,R382:AA382)</f>
        <v>55.01</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0.01</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5">
      <c r="A383" s="9"/>
      <c r="B383" s="103">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ht="13" x14ac:dyDescent="0.3">
      <c r="A384" s="1" t="s">
        <v>150</v>
      </c>
      <c r="B384" s="103">
        <f>IF(AND('AES Indiana Bill Calc.'!$D$17="SE",'AES Indiana Bill Calc.'!$D$18="Yes 25%",'AES Indiana Bill Calc.'!$D$20="Yes 2023"),'AES Indiana Bill Calc.'!$D$19,-1)</f>
        <v>-1</v>
      </c>
      <c r="C384" s="103" t="b">
        <f>IF(AND('AES Indiana Bill Calc.'!$D$17="SE",'AES Indiana Bill Calc.'!$D$18="Yes 25%",'AES Indiana Bill Calc.'!$D$20="Yes 2022"),'AES Indiana Bill Calc.'!$D$23)</f>
        <v>0</v>
      </c>
      <c r="D384" s="2">
        <f>ROUND(C384*D$305,0)</f>
        <v>0</v>
      </c>
      <c r="F384" s="36" t="s">
        <v>191</v>
      </c>
      <c r="G384" s="17">
        <f>SUM(J384:M384,O384:P384,R384:AA384)</f>
        <v>55.01</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0.01</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5">
      <c r="A385" s="9"/>
      <c r="B385" s="103">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ht="13" x14ac:dyDescent="0.3">
      <c r="A386" s="1" t="s">
        <v>164</v>
      </c>
      <c r="B386" s="103">
        <f>IF(AND('AES Indiana Bill Calc.'!$D$17="SE",'AES Indiana Bill Calc.'!$D$18="Yes 10%",'AES Indiana Bill Calc.'!$D$20="Yes 2023"),'AES Indiana Bill Calc.'!$D$19,-1)</f>
        <v>-1</v>
      </c>
      <c r="C386" s="103" t="b">
        <f>IF(AND('AES Indiana Bill Calc.'!$D$17="SE",'AES Indiana Bill Calc.'!$D$18="Yes 10%",'AES Indiana Bill Calc.'!$D$20="Yes 2022"),'AES Indiana Bill Calc.'!$D$23)</f>
        <v>0</v>
      </c>
      <c r="D386" s="2">
        <f>ROUND(C386*D$305,0)</f>
        <v>0</v>
      </c>
      <c r="F386" s="36" t="s">
        <v>191</v>
      </c>
      <c r="G386" s="17">
        <f>SUM(J386:M386,O386:P386,R386:AA386)</f>
        <v>55.01</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0.01</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5">
      <c r="A387" s="9"/>
      <c r="B387" s="103">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ht="13" x14ac:dyDescent="0.3">
      <c r="A388" s="1" t="s">
        <v>147</v>
      </c>
      <c r="B388" s="103">
        <f>IF(AND('AES Indiana Bill Calc.'!$D$17="SE",'AES Indiana Bill Calc.'!$D$18="No",'AES Indiana Bill Calc.'!$D$20="Yes 2023"),'AES Indiana Bill Calc.'!$D$19,-1)</f>
        <v>-1</v>
      </c>
      <c r="C388" s="103" t="b">
        <f>IF(AND('AES Indiana Bill Calc.'!$D$17="SE",'AES Indiana Bill Calc.'!$D$18="No",'AES Indiana Bill Calc.'!$D$20="Yes 2022"),'AES Indiana Bill Calc.'!$D$23)</f>
        <v>0</v>
      </c>
      <c r="D388" s="2">
        <f>ROUND(C388*D$305,0)</f>
        <v>0</v>
      </c>
      <c r="F388" s="36" t="s">
        <v>191</v>
      </c>
      <c r="G388" s="17">
        <f>SUM(J388:M388,O388:P388,R388:AA388)</f>
        <v>55.01</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0.01</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ht="13" x14ac:dyDescent="0.3">
      <c r="A389" s="1"/>
      <c r="B389" s="103">
        <v>-1</v>
      </c>
      <c r="C389" s="103"/>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ht="13" x14ac:dyDescent="0.3">
      <c r="A390" s="1" t="s">
        <v>148</v>
      </c>
      <c r="B390" s="103">
        <f>IF(AND('AES Indiana Bill Calc.'!$D$17="SE",'AES Indiana Bill Calc.'!$D$18="Yes 100%",'AES Indiana Bill Calc.'!$D$20="Yes 2024"),'AES Indiana Bill Calc.'!$D$19,-1)</f>
        <v>-1</v>
      </c>
      <c r="C390" s="103" t="b">
        <f>IF(AND('AES Indiana Bill Calc.'!$D$17="SE",'AES Indiana Bill Calc.'!$D$18="Yes 100%",'AES Indiana Bill Calc.'!$D$20="Yes 2022"),'AES Indiana Bill Calc.'!$D$23)</f>
        <v>0</v>
      </c>
      <c r="D390" s="2">
        <f>ROUND(C390*D$305,0)</f>
        <v>0</v>
      </c>
      <c r="F390" s="36" t="s">
        <v>307</v>
      </c>
      <c r="G390" s="17">
        <f>SUM(J390:M390,O390:P390,R390:AA390)</f>
        <v>55.01</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0.01</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5">
      <c r="A391" s="9"/>
      <c r="B391" s="103">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ht="13" x14ac:dyDescent="0.3">
      <c r="A392" s="1" t="s">
        <v>149</v>
      </c>
      <c r="B392" s="103">
        <f>IF(AND('AES Indiana Bill Calc.'!$D$17="SE",'AES Indiana Bill Calc.'!$D$18="Yes 50%",'AES Indiana Bill Calc.'!$D$20="Yes 2024"),'AES Indiana Bill Calc.'!$D$19,-1)</f>
        <v>-1</v>
      </c>
      <c r="C392" s="103" t="b">
        <f>IF(AND('AES Indiana Bill Calc.'!$D$17="SE",'AES Indiana Bill Calc.'!$D$18="Yes 50%",'AES Indiana Bill Calc.'!$D$20="Yes 2022"),'AES Indiana Bill Calc.'!$D$23)</f>
        <v>0</v>
      </c>
      <c r="D392" s="2">
        <f>ROUND(C392*D$305,0)</f>
        <v>0</v>
      </c>
      <c r="F392" s="36" t="s">
        <v>307</v>
      </c>
      <c r="G392" s="17">
        <f>SUM(J392:M392,O392:P392,R392:AA392)</f>
        <v>55.01</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0.01</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5">
      <c r="A393" s="9"/>
      <c r="B393" s="103">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ht="13" x14ac:dyDescent="0.3">
      <c r="A394" s="1" t="s">
        <v>150</v>
      </c>
      <c r="B394" s="103">
        <f>IF(AND('AES Indiana Bill Calc.'!$D$17="SE",'AES Indiana Bill Calc.'!$D$18="Yes 25%",'AES Indiana Bill Calc.'!$D$20="Yes 2024"),'AES Indiana Bill Calc.'!$D$19,-1)</f>
        <v>-1</v>
      </c>
      <c r="C394" s="103" t="b">
        <f>IF(AND('AES Indiana Bill Calc.'!$D$17="SE",'AES Indiana Bill Calc.'!$D$18="Yes 25%",'AES Indiana Bill Calc.'!$D$20="Yes 2022"),'AES Indiana Bill Calc.'!$D$23)</f>
        <v>0</v>
      </c>
      <c r="D394" s="2">
        <f>ROUND(C394*D$305,0)</f>
        <v>0</v>
      </c>
      <c r="F394" s="36" t="s">
        <v>307</v>
      </c>
      <c r="G394" s="17">
        <f>SUM(J394:M394,O394:P394,R394:AA394)</f>
        <v>55.01</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0.01</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5">
      <c r="A395" s="9"/>
      <c r="B395" s="103">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ht="13" x14ac:dyDescent="0.3">
      <c r="A396" s="1" t="s">
        <v>164</v>
      </c>
      <c r="B396" s="103">
        <f>IF(AND('AES Indiana Bill Calc.'!$D$17="SE",'AES Indiana Bill Calc.'!$D$18="Yes 10%",'AES Indiana Bill Calc.'!$D$20="Yes 2024"),'AES Indiana Bill Calc.'!$D$19,-1)</f>
        <v>-1</v>
      </c>
      <c r="C396" s="103" t="b">
        <f>IF(AND('AES Indiana Bill Calc.'!$D$17="SE",'AES Indiana Bill Calc.'!$D$18="Yes 10%",'AES Indiana Bill Calc.'!$D$20="Yes 2022"),'AES Indiana Bill Calc.'!$D$23)</f>
        <v>0</v>
      </c>
      <c r="D396" s="2">
        <f>ROUND(C396*D$305,0)</f>
        <v>0</v>
      </c>
      <c r="F396" s="36" t="s">
        <v>307</v>
      </c>
      <c r="G396" s="17">
        <f>SUM(J396:M396,O396:P396,R396:AA396)</f>
        <v>55.01</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0.01</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5">
      <c r="A397" s="9"/>
      <c r="B397" s="103">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ht="13" x14ac:dyDescent="0.3">
      <c r="A398" s="1" t="s">
        <v>147</v>
      </c>
      <c r="B398" s="103">
        <f>IF(AND('AES Indiana Bill Calc.'!$D$17="SE",'AES Indiana Bill Calc.'!$D$18="No",'AES Indiana Bill Calc.'!$D$20="Yes 2024"),'AES Indiana Bill Calc.'!$D$19,-1)</f>
        <v>-1</v>
      </c>
      <c r="C398" s="103" t="b">
        <f>IF(AND('AES Indiana Bill Calc.'!$D$17="SE",'AES Indiana Bill Calc.'!$D$18="No",'AES Indiana Bill Calc.'!$D$20="Yes 2022"),'AES Indiana Bill Calc.'!$D$23)</f>
        <v>0</v>
      </c>
      <c r="D398" s="2">
        <f>ROUND(C398*D$305,0)</f>
        <v>0</v>
      </c>
      <c r="F398" s="36" t="s">
        <v>307</v>
      </c>
      <c r="G398" s="17">
        <f>SUM(J398:M398,O398:P398,R398:AA398)</f>
        <v>55.01</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0.01</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ht="13" x14ac:dyDescent="0.3">
      <c r="A399" s="1"/>
      <c r="B399" s="103">
        <v>-1</v>
      </c>
      <c r="C399" s="103"/>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ht="13" x14ac:dyDescent="0.3">
      <c r="A400" s="1"/>
      <c r="B400" s="103">
        <v>-1</v>
      </c>
      <c r="C400" s="103"/>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5">
      <c r="B401" s="103">
        <v>-1</v>
      </c>
      <c r="H401" s="19"/>
      <c r="I401" s="19"/>
      <c r="J401" s="8"/>
      <c r="K401" s="17"/>
      <c r="L401" s="8"/>
      <c r="M401" s="8"/>
      <c r="N401" s="8"/>
      <c r="O401" s="8"/>
      <c r="P401" s="8"/>
      <c r="Q401" s="8"/>
      <c r="R401" s="8"/>
      <c r="S401" s="17"/>
      <c r="T401" s="17"/>
      <c r="U401" s="17"/>
      <c r="V401" s="17"/>
      <c r="W401" s="17"/>
      <c r="X401" s="17"/>
      <c r="Y401" s="17"/>
      <c r="Z401" s="17"/>
      <c r="AA401" s="17"/>
    </row>
    <row r="402" spans="1:29" x14ac:dyDescent="0.25">
      <c r="B402" s="103">
        <v>-1</v>
      </c>
      <c r="C402" s="4"/>
      <c r="I402" s="19"/>
      <c r="J402" s="161">
        <v>20</v>
      </c>
      <c r="K402" s="162">
        <v>7.6942999999999998E-2</v>
      </c>
      <c r="L402" s="5"/>
      <c r="M402" s="5"/>
      <c r="N402" s="5"/>
      <c r="O402" s="5"/>
      <c r="P402" s="5"/>
      <c r="Q402" s="5"/>
      <c r="R402" s="5"/>
      <c r="S402" s="27">
        <f>+M$3</f>
        <v>2.5999999999999999E-3</v>
      </c>
      <c r="T402" s="27">
        <f t="shared" ref="T402:AA402" si="28">+R$3</f>
        <v>-7.7250000000000001E-3</v>
      </c>
      <c r="U402" s="27">
        <f>$S$3</f>
        <v>1.8929999999999999E-3</v>
      </c>
      <c r="V402" s="27">
        <f t="shared" si="28"/>
        <v>3.5249999999999999E-3</v>
      </c>
      <c r="W402" s="27">
        <f t="shared" si="28"/>
        <v>0</v>
      </c>
      <c r="X402" s="27">
        <f t="shared" si="28"/>
        <v>3.375E-3</v>
      </c>
      <c r="Y402" s="27">
        <f t="shared" si="28"/>
        <v>-1.379E-3</v>
      </c>
      <c r="Z402" s="27">
        <f t="shared" si="28"/>
        <v>5.5400000000000002E-4</v>
      </c>
      <c r="AA402" s="27">
        <f t="shared" si="28"/>
        <v>-4.7699999999999999E-4</v>
      </c>
      <c r="AB402" s="19">
        <f>SUM(U402:Z402)</f>
        <v>7.9680000000000011E-3</v>
      </c>
    </row>
    <row r="403" spans="1:29" x14ac:dyDescent="0.25">
      <c r="A403" s="1"/>
      <c r="B403" s="103">
        <v>-1</v>
      </c>
      <c r="I403" s="19"/>
      <c r="J403" s="76"/>
      <c r="K403" s="77">
        <v>999999</v>
      </c>
    </row>
    <row r="404" spans="1:29" x14ac:dyDescent="0.25">
      <c r="B404" s="103">
        <v>-1</v>
      </c>
      <c r="F404" s="12"/>
      <c r="I404" s="19"/>
      <c r="J404" s="12" t="s">
        <v>137</v>
      </c>
      <c r="K404" s="195" t="s">
        <v>28</v>
      </c>
      <c r="L404" s="195"/>
      <c r="M404" s="12"/>
      <c r="N404" s="12"/>
      <c r="O404" s="12"/>
      <c r="P404" s="12"/>
      <c r="Q404" s="143" t="s">
        <v>173</v>
      </c>
      <c r="R404" s="12"/>
      <c r="S404" s="12">
        <v>21</v>
      </c>
      <c r="T404" s="12">
        <v>6</v>
      </c>
      <c r="U404" s="12">
        <v>3</v>
      </c>
      <c r="V404" s="12">
        <v>22</v>
      </c>
      <c r="W404" s="12">
        <v>13</v>
      </c>
      <c r="X404" s="12">
        <v>20</v>
      </c>
      <c r="Y404" s="12">
        <v>24</v>
      </c>
      <c r="Z404" s="12">
        <v>25</v>
      </c>
      <c r="AA404" s="12">
        <v>26</v>
      </c>
    </row>
    <row r="405" spans="1:29" x14ac:dyDescent="0.25">
      <c r="A405" s="13"/>
      <c r="B405" s="14">
        <v>-1</v>
      </c>
      <c r="C405" s="14" t="s">
        <v>192</v>
      </c>
      <c r="D405" s="15"/>
      <c r="F405" s="13" t="s">
        <v>141</v>
      </c>
      <c r="G405" s="13" t="s">
        <v>142</v>
      </c>
      <c r="H405" s="13" t="s">
        <v>143</v>
      </c>
      <c r="I405" s="19"/>
      <c r="J405" s="13" t="s">
        <v>144</v>
      </c>
      <c r="K405" s="13" t="s">
        <v>174</v>
      </c>
      <c r="L405" s="13"/>
      <c r="M405" s="13"/>
      <c r="N405" s="143" t="s">
        <v>138</v>
      </c>
      <c r="O405" s="13"/>
      <c r="P405" s="13"/>
      <c r="Q405" s="13"/>
      <c r="R405" s="13"/>
      <c r="S405" s="13" t="s">
        <v>106</v>
      </c>
      <c r="T405" s="13" t="s">
        <v>36</v>
      </c>
      <c r="U405" s="139" t="s">
        <v>38</v>
      </c>
      <c r="V405" s="13" t="s">
        <v>107</v>
      </c>
      <c r="W405" s="13" t="s">
        <v>108</v>
      </c>
      <c r="X405" s="13" t="s">
        <v>109</v>
      </c>
      <c r="Y405" s="139" t="s">
        <v>44</v>
      </c>
      <c r="Z405" s="139" t="s">
        <v>46</v>
      </c>
      <c r="AA405" s="139" t="s">
        <v>48</v>
      </c>
      <c r="AB405" s="66" t="s">
        <v>110</v>
      </c>
    </row>
    <row r="406" spans="1:29" x14ac:dyDescent="0.25">
      <c r="B406" s="103">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ht="13" x14ac:dyDescent="0.3">
      <c r="A407" s="1" t="s">
        <v>148</v>
      </c>
      <c r="B407" s="103">
        <f>IF(AND('AES Indiana Bill Calc.'!$D$17="CR",'AES Indiana Bill Calc.'!$D$18="Yes 100%"),'AES Indiana Bill Calc.'!$D$19,-1)</f>
        <v>-1</v>
      </c>
      <c r="C407" s="9"/>
      <c r="F407" s="36" t="s">
        <v>58</v>
      </c>
      <c r="G407" s="17">
        <f>SUM(J407:M407,O407:P407,R407:AA407)</f>
        <v>19.930000000000003</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0.01</v>
      </c>
      <c r="U407" s="17">
        <f t="shared" si="29"/>
        <v>0</v>
      </c>
      <c r="V407" s="17">
        <f t="shared" si="29"/>
        <v>0</v>
      </c>
      <c r="W407" s="17">
        <f t="shared" si="29"/>
        <v>0</v>
      </c>
      <c r="X407" s="17">
        <f t="shared" si="29"/>
        <v>0</v>
      </c>
      <c r="Y407" s="17">
        <f t="shared" si="29"/>
        <v>0</v>
      </c>
      <c r="Z407" s="17">
        <f t="shared" si="29"/>
        <v>0</v>
      </c>
      <c r="AA407" s="17">
        <f t="shared" si="29"/>
        <v>0</v>
      </c>
      <c r="AB407" s="19">
        <f>SUM(U402:AA402)</f>
        <v>7.4910000000000011E-3</v>
      </c>
      <c r="AC407" s="67" t="str">
        <f>+F407</f>
        <v>CR</v>
      </c>
    </row>
    <row r="408" spans="1:29" x14ac:dyDescent="0.25">
      <c r="A408" s="9"/>
      <c r="B408" s="103">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ht="13" x14ac:dyDescent="0.3">
      <c r="A409" s="1" t="s">
        <v>149</v>
      </c>
      <c r="B409" s="103">
        <f>IF(AND('AES Indiana Bill Calc.'!$D$17="CR",'AES Indiana Bill Calc.'!$D$18="Yes 50%"),'AES Indiana Bill Calc.'!$D$19,-1)</f>
        <v>-1</v>
      </c>
      <c r="C409" s="9"/>
      <c r="F409" s="36" t="s">
        <v>58</v>
      </c>
      <c r="G409" s="17">
        <f>SUM(J409:M409,O409:P409,R409:AA409)</f>
        <v>19.930000000000003</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0.01</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5">
      <c r="A410" s="9"/>
      <c r="B410" s="103">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ht="13" x14ac:dyDescent="0.3">
      <c r="A411" s="1" t="s">
        <v>150</v>
      </c>
      <c r="B411" s="103">
        <f>IF(AND('AES Indiana Bill Calc.'!$D$17="CR",'AES Indiana Bill Calc.'!$D$18="Yes 25%"),'AES Indiana Bill Calc.'!$D$19,-1)</f>
        <v>-1</v>
      </c>
      <c r="C411" s="9"/>
      <c r="F411" s="36" t="s">
        <v>58</v>
      </c>
      <c r="G411" s="17">
        <f>SUM(J411:M411,O411:P411,R411:AA411)</f>
        <v>19.930000000000003</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0.01</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5">
      <c r="A412" s="1"/>
      <c r="B412" s="103">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ht="13" x14ac:dyDescent="0.3">
      <c r="A413" s="1" t="s">
        <v>164</v>
      </c>
      <c r="B413" s="103">
        <f>IF(AND('AES Indiana Bill Calc.'!$D$17="CR",'AES Indiana Bill Calc.'!$D$18="Yes 10%"),'AES Indiana Bill Calc.'!$D$19,-1)</f>
        <v>-1</v>
      </c>
      <c r="C413" s="9"/>
      <c r="F413" s="36" t="s">
        <v>58</v>
      </c>
      <c r="G413" s="17">
        <f>SUM(J413:M413,O413:P413,R413:AA413)</f>
        <v>19.930000000000003</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0.01</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5">
      <c r="A414" s="9"/>
      <c r="B414" s="103">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ht="13" x14ac:dyDescent="0.3">
      <c r="A415" s="1" t="s">
        <v>147</v>
      </c>
      <c r="B415" s="103">
        <f>IF(AND('AES Indiana Bill Calc.'!$D$17="CR",'AES Indiana Bill Calc.'!$D$18="No"),'AES Indiana Bill Calc.'!$D$19,-1)</f>
        <v>-1</v>
      </c>
      <c r="C415" s="9"/>
      <c r="F415" s="36" t="s">
        <v>58</v>
      </c>
      <c r="G415" s="17">
        <f>SUM(J415:M415,O415:P415,R415:AA415)</f>
        <v>19.930000000000003</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0.01</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ht="13" x14ac:dyDescent="0.3">
      <c r="A416" s="53"/>
      <c r="B416" s="103">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ht="13" x14ac:dyDescent="0.3">
      <c r="A417" s="53"/>
      <c r="B417" s="103">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5">
      <c r="B418" s="103">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5">
      <c r="B419" s="103">
        <v>-1</v>
      </c>
      <c r="H419" s="19"/>
      <c r="I419" s="19"/>
      <c r="J419" s="8"/>
      <c r="K419" s="17"/>
      <c r="L419" s="8"/>
      <c r="M419" s="8"/>
      <c r="N419" s="8"/>
      <c r="O419" s="8"/>
      <c r="P419" s="8"/>
      <c r="Q419" s="8"/>
      <c r="R419" s="8"/>
      <c r="S419" s="17"/>
      <c r="T419" s="17"/>
      <c r="U419" s="17"/>
      <c r="V419" s="17"/>
      <c r="W419" s="17"/>
      <c r="X419" s="17"/>
      <c r="Y419" s="17"/>
      <c r="Z419" s="17"/>
      <c r="AA419" s="17"/>
    </row>
    <row r="420" spans="1:29" x14ac:dyDescent="0.25">
      <c r="B420" s="103">
        <v>-1</v>
      </c>
      <c r="C420" s="4"/>
      <c r="I420" s="19"/>
      <c r="J420" s="161">
        <f>J402</f>
        <v>20</v>
      </c>
      <c r="K420" s="162">
        <f>K402</f>
        <v>7.6942999999999998E-2</v>
      </c>
      <c r="L420" s="5">
        <v>0</v>
      </c>
      <c r="M420" s="5"/>
      <c r="N420" s="5"/>
      <c r="O420" s="5"/>
      <c r="P420" s="5"/>
      <c r="Q420" s="5"/>
      <c r="R420" s="5"/>
      <c r="S420" s="27">
        <f>+M$4</f>
        <v>2.5999999999999999E-3</v>
      </c>
      <c r="T420" s="27">
        <f t="shared" ref="T420:AA420" si="30">+R$4</f>
        <v>-7.7250000000000001E-3</v>
      </c>
      <c r="U420" s="27">
        <f>+S$4</f>
        <v>1.523E-3</v>
      </c>
      <c r="V420" s="27">
        <f t="shared" si="30"/>
        <v>6.6499999999999997E-3</v>
      </c>
      <c r="W420" s="27">
        <f t="shared" si="30"/>
        <v>0</v>
      </c>
      <c r="X420" s="27">
        <f t="shared" si="30"/>
        <v>3.2620000000000001E-3</v>
      </c>
      <c r="Y420" s="27">
        <f t="shared" si="30"/>
        <v>-1.3760000000000001E-3</v>
      </c>
      <c r="Z420" s="27">
        <f t="shared" si="30"/>
        <v>4.8899999999999996E-4</v>
      </c>
      <c r="AA420" s="27">
        <f t="shared" si="30"/>
        <v>-4.5600000000000003E-4</v>
      </c>
      <c r="AB420" s="19">
        <f>SUM(U420:Z420)</f>
        <v>1.0548E-2</v>
      </c>
    </row>
    <row r="421" spans="1:29" ht="13" x14ac:dyDescent="0.3">
      <c r="A421" s="1"/>
      <c r="B421" s="103">
        <v>-1</v>
      </c>
      <c r="C421" s="37"/>
      <c r="I421" s="19"/>
      <c r="J421" s="72"/>
      <c r="K421" s="73">
        <v>999999</v>
      </c>
    </row>
    <row r="422" spans="1:29" x14ac:dyDescent="0.25">
      <c r="B422" s="103">
        <v>-1</v>
      </c>
      <c r="F422" s="12"/>
      <c r="I422" s="19"/>
      <c r="J422" s="12" t="s">
        <v>137</v>
      </c>
      <c r="K422" s="195" t="s">
        <v>28</v>
      </c>
      <c r="L422" s="195"/>
      <c r="M422" s="12"/>
      <c r="N422" s="12"/>
      <c r="O422" s="12"/>
      <c r="P422" s="12"/>
      <c r="Q422" s="143" t="s">
        <v>173</v>
      </c>
      <c r="R422" s="12"/>
      <c r="S422" s="12">
        <v>21</v>
      </c>
      <c r="T422" s="12">
        <v>6</v>
      </c>
      <c r="U422" s="12">
        <v>3</v>
      </c>
      <c r="V422" s="12">
        <v>22</v>
      </c>
      <c r="W422" s="12">
        <v>13</v>
      </c>
      <c r="X422" s="12">
        <v>20</v>
      </c>
      <c r="Y422" s="12">
        <v>24</v>
      </c>
      <c r="Z422" s="12">
        <v>25</v>
      </c>
      <c r="AA422" s="12">
        <v>26</v>
      </c>
    </row>
    <row r="423" spans="1:29" x14ac:dyDescent="0.25">
      <c r="A423" s="13"/>
      <c r="B423" s="103">
        <v>-1</v>
      </c>
      <c r="C423" s="14" t="s">
        <v>192</v>
      </c>
      <c r="D423" s="15"/>
      <c r="F423" s="13" t="s">
        <v>141</v>
      </c>
      <c r="G423" s="13" t="s">
        <v>142</v>
      </c>
      <c r="H423" s="13" t="s">
        <v>143</v>
      </c>
      <c r="I423" s="19"/>
      <c r="J423" s="13" t="s">
        <v>144</v>
      </c>
      <c r="K423" s="13" t="s">
        <v>174</v>
      </c>
      <c r="L423" s="13"/>
      <c r="M423" s="13"/>
      <c r="N423" s="143" t="s">
        <v>138</v>
      </c>
      <c r="O423" s="13"/>
      <c r="P423" s="13"/>
      <c r="Q423" s="13"/>
      <c r="R423" s="13"/>
      <c r="S423" s="13" t="s">
        <v>106</v>
      </c>
      <c r="T423" s="13" t="s">
        <v>36</v>
      </c>
      <c r="U423" s="139" t="s">
        <v>38</v>
      </c>
      <c r="V423" s="13" t="s">
        <v>107</v>
      </c>
      <c r="W423" s="13" t="s">
        <v>108</v>
      </c>
      <c r="X423" s="13" t="s">
        <v>109</v>
      </c>
      <c r="Y423" s="139" t="s">
        <v>44</v>
      </c>
      <c r="Z423" s="139" t="s">
        <v>46</v>
      </c>
      <c r="AA423" s="139" t="s">
        <v>48</v>
      </c>
      <c r="AB423" s="66" t="s">
        <v>110</v>
      </c>
    </row>
    <row r="424" spans="1:29" x14ac:dyDescent="0.25">
      <c r="B424" s="103">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ht="13" x14ac:dyDescent="0.3">
      <c r="A425" s="53"/>
      <c r="B425" s="103">
        <f>IF(AND('AES Indiana Bill Calc.'!$D$17="CB",'AES Indiana Bill Calc.'!$D$18="Yes 100%"),'AES Indiana Bill Calc.'!$D$19,-1)</f>
        <v>-1</v>
      </c>
      <c r="C425" s="1" t="s">
        <v>148</v>
      </c>
      <c r="F425" s="36" t="s">
        <v>59</v>
      </c>
      <c r="G425" s="17">
        <f>SUM(J425:M425,O425:P425,R425:AA425)</f>
        <v>19.920000000000002</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0.01</v>
      </c>
      <c r="U425" s="17">
        <f t="shared" si="31"/>
        <v>0</v>
      </c>
      <c r="V425" s="17">
        <f t="shared" si="31"/>
        <v>-0.01</v>
      </c>
      <c r="W425" s="17">
        <f t="shared" si="31"/>
        <v>0</v>
      </c>
      <c r="X425" s="17">
        <f t="shared" si="31"/>
        <v>0</v>
      </c>
      <c r="Y425" s="17">
        <f t="shared" si="31"/>
        <v>0</v>
      </c>
      <c r="Z425" s="17">
        <f t="shared" si="31"/>
        <v>0</v>
      </c>
      <c r="AA425" s="17">
        <f t="shared" si="31"/>
        <v>0</v>
      </c>
      <c r="AB425" s="19">
        <f>SUM(U420:AA420)</f>
        <v>1.0092E-2</v>
      </c>
      <c r="AC425" s="67" t="str">
        <f>+F425</f>
        <v>CB</v>
      </c>
    </row>
    <row r="426" spans="1:29" x14ac:dyDescent="0.25">
      <c r="B426" s="103">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ht="13" x14ac:dyDescent="0.3">
      <c r="A427" s="53"/>
      <c r="B427" s="103">
        <f>IF(AND('AES Indiana Bill Calc.'!$D$17="CB",'AES Indiana Bill Calc.'!$D$18="Yes 50%"),'AES Indiana Bill Calc.'!$D$19,-1)</f>
        <v>-1</v>
      </c>
      <c r="C427" s="1" t="s">
        <v>149</v>
      </c>
      <c r="F427" s="36" t="s">
        <v>59</v>
      </c>
      <c r="G427" s="17">
        <f>SUM(J427:M427,O427:P427,R427:AA427)</f>
        <v>19.920000000000002</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0.01</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5">
      <c r="B428" s="103">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ht="13" x14ac:dyDescent="0.3">
      <c r="A429" s="53"/>
      <c r="B429" s="103">
        <f>IF(AND('AES Indiana Bill Calc.'!$D$17="CB",'AES Indiana Bill Calc.'!$D$18="Yes 25%"),'AES Indiana Bill Calc.'!$D$19,-1)</f>
        <v>-1</v>
      </c>
      <c r="C429" s="1" t="s">
        <v>150</v>
      </c>
      <c r="F429" s="36" t="s">
        <v>59</v>
      </c>
      <c r="G429" s="17">
        <f>SUM(J429:M429,O429:P429,R429:AA429)</f>
        <v>19.920000000000002</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0.01</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5">
      <c r="B430" s="103">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ht="13" x14ac:dyDescent="0.3">
      <c r="A431" s="53"/>
      <c r="B431" s="103">
        <f>IF(AND('AES Indiana Bill Calc.'!$D$17="CB",'AES Indiana Bill Calc.'!$D$18="Yes 10%"),'AES Indiana Bill Calc.'!$D$19,-1)</f>
        <v>-1</v>
      </c>
      <c r="C431" s="1" t="s">
        <v>164</v>
      </c>
      <c r="F431" s="36" t="s">
        <v>59</v>
      </c>
      <c r="G431" s="17">
        <f>SUM(J431:M431,O431:P431,R431:AA431)</f>
        <v>19.920000000000002</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0.01</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5">
      <c r="B432" s="103">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ht="13" x14ac:dyDescent="0.3">
      <c r="A433" s="53"/>
      <c r="B433" s="103">
        <f>IF(AND('AES Indiana Bill Calc.'!$D$17="CB",'AES Indiana Bill Calc.'!$D$18="No"),'AES Indiana Bill Calc.'!$D$19,-1)</f>
        <v>-1</v>
      </c>
      <c r="C433" s="1" t="s">
        <v>147</v>
      </c>
      <c r="F433" s="36" t="s">
        <v>59</v>
      </c>
      <c r="G433" s="17">
        <f>SUM(J433:M433,O433:P433,R433:AA433)</f>
        <v>19.920000000000002</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0.01</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5">
      <c r="B434" s="103">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5">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3">
        <v>-1</v>
      </c>
      <c r="C436" s="4"/>
      <c r="I436" s="19"/>
      <c r="J436" s="161">
        <v>40</v>
      </c>
      <c r="K436" s="162">
        <v>8.9470999999999995E-2</v>
      </c>
      <c r="L436" s="5">
        <v>0</v>
      </c>
      <c r="M436" s="5"/>
      <c r="N436" s="5"/>
      <c r="O436" s="5"/>
      <c r="P436" s="5"/>
      <c r="Q436" s="5"/>
      <c r="R436" s="5"/>
      <c r="S436" s="27">
        <f>+M$4</f>
        <v>2.5999999999999999E-3</v>
      </c>
      <c r="T436" s="27">
        <f t="shared" ref="T436:AA436" si="32">+R$4</f>
        <v>-7.7250000000000001E-3</v>
      </c>
      <c r="U436" s="27">
        <f>+S$3</f>
        <v>1.8929999999999999E-3</v>
      </c>
      <c r="V436" s="27">
        <f t="shared" si="32"/>
        <v>6.6499999999999997E-3</v>
      </c>
      <c r="W436" s="27">
        <f t="shared" si="32"/>
        <v>0</v>
      </c>
      <c r="X436" s="27">
        <f t="shared" si="32"/>
        <v>3.2620000000000001E-3</v>
      </c>
      <c r="Y436" s="27">
        <f t="shared" si="32"/>
        <v>-1.3760000000000001E-3</v>
      </c>
      <c r="Z436" s="27">
        <f t="shared" si="32"/>
        <v>4.8899999999999996E-4</v>
      </c>
      <c r="AA436" s="27">
        <f t="shared" si="32"/>
        <v>-4.5600000000000003E-4</v>
      </c>
      <c r="AB436" s="19">
        <f>SUM(U436:Z436)</f>
        <v>1.0917999999999999E-2</v>
      </c>
    </row>
    <row r="437" spans="1:29" ht="13" x14ac:dyDescent="0.3">
      <c r="A437" s="1"/>
      <c r="B437" s="103">
        <v>-1</v>
      </c>
      <c r="C437" s="37"/>
      <c r="I437" s="19"/>
      <c r="J437" s="72"/>
      <c r="K437" s="73">
        <v>999999</v>
      </c>
    </row>
    <row r="438" spans="1:29" x14ac:dyDescent="0.25">
      <c r="B438" s="103">
        <v>-1</v>
      </c>
      <c r="F438" s="12"/>
      <c r="I438" s="19"/>
      <c r="J438" s="12" t="s">
        <v>137</v>
      </c>
      <c r="K438" s="195" t="s">
        <v>28</v>
      </c>
      <c r="L438" s="195"/>
      <c r="M438" s="12"/>
      <c r="N438" s="12"/>
      <c r="O438" s="12"/>
      <c r="P438" s="12"/>
      <c r="Q438" s="143" t="s">
        <v>173</v>
      </c>
      <c r="R438" s="12"/>
      <c r="S438" s="12">
        <v>21</v>
      </c>
      <c r="T438" s="12">
        <v>6</v>
      </c>
      <c r="U438" s="12">
        <v>3</v>
      </c>
      <c r="V438" s="12">
        <v>22</v>
      </c>
      <c r="W438" s="12">
        <v>13</v>
      </c>
      <c r="X438" s="12">
        <v>20</v>
      </c>
      <c r="Y438" s="12">
        <v>24</v>
      </c>
      <c r="Z438" s="12">
        <v>25</v>
      </c>
      <c r="AA438" s="12">
        <v>26</v>
      </c>
    </row>
    <row r="439" spans="1:29" x14ac:dyDescent="0.25">
      <c r="A439" s="13"/>
      <c r="B439" s="14" t="s">
        <v>140</v>
      </c>
      <c r="C439" s="14" t="s">
        <v>192</v>
      </c>
      <c r="D439" s="15"/>
      <c r="F439" s="13" t="s">
        <v>141</v>
      </c>
      <c r="G439" s="13" t="s">
        <v>142</v>
      </c>
      <c r="H439" s="13" t="s">
        <v>143</v>
      </c>
      <c r="I439" s="19"/>
      <c r="J439" s="13" t="s">
        <v>144</v>
      </c>
      <c r="K439" s="13" t="s">
        <v>174</v>
      </c>
      <c r="L439" s="13"/>
      <c r="M439" s="13"/>
      <c r="N439" s="143" t="s">
        <v>138</v>
      </c>
      <c r="O439" s="13"/>
      <c r="P439" s="13"/>
      <c r="Q439" s="13"/>
      <c r="R439" s="13"/>
      <c r="S439" s="13" t="s">
        <v>106</v>
      </c>
      <c r="T439" s="13" t="s">
        <v>36</v>
      </c>
      <c r="U439" s="139" t="s">
        <v>38</v>
      </c>
      <c r="V439" s="13" t="s">
        <v>107</v>
      </c>
      <c r="W439" s="13" t="s">
        <v>108</v>
      </c>
      <c r="X439" s="13" t="s">
        <v>109</v>
      </c>
      <c r="Y439" s="139" t="s">
        <v>44</v>
      </c>
      <c r="Z439" s="139" t="s">
        <v>46</v>
      </c>
      <c r="AA439" s="139" t="s">
        <v>48</v>
      </c>
      <c r="AB439" s="66" t="s">
        <v>110</v>
      </c>
    </row>
    <row r="440" spans="1:29" x14ac:dyDescent="0.25">
      <c r="B440" s="126">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53"/>
      <c r="B441" s="103">
        <f>IF(AND('AES Indiana Bill Calc.'!$D$17="UW",'AES Indiana Bill Calc.'!$D$18="Yes 100%"),'AES Indiana Bill Calc.'!$D$19,-1)</f>
        <v>-1</v>
      </c>
      <c r="C441" s="1" t="s">
        <v>148</v>
      </c>
      <c r="F441" s="36" t="s">
        <v>60</v>
      </c>
      <c r="G441" s="17">
        <f>SUM(J441:M441,O441:P441,R441:AA441)</f>
        <v>39.909999999999997</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0.01</v>
      </c>
      <c r="U441" s="17">
        <f t="shared" si="33"/>
        <v>0</v>
      </c>
      <c r="V441" s="17">
        <f t="shared" si="33"/>
        <v>-0.01</v>
      </c>
      <c r="W441" s="17">
        <f t="shared" si="33"/>
        <v>0</v>
      </c>
      <c r="X441" s="17">
        <f t="shared" si="33"/>
        <v>0</v>
      </c>
      <c r="Y441" s="17">
        <f t="shared" si="33"/>
        <v>0</v>
      </c>
      <c r="Z441" s="17">
        <f t="shared" si="33"/>
        <v>0</v>
      </c>
      <c r="AA441" s="17">
        <f t="shared" si="33"/>
        <v>0</v>
      </c>
      <c r="AB441" s="19">
        <f>SUM(U436:AA436)</f>
        <v>1.0461999999999999E-2</v>
      </c>
      <c r="AC441" s="67" t="str">
        <f>+F441</f>
        <v>UW</v>
      </c>
    </row>
    <row r="442" spans="1:29" x14ac:dyDescent="0.25">
      <c r="B442" s="126">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53"/>
      <c r="B443" s="103">
        <f>IF(AND('AES Indiana Bill Calc.'!$D$17="UW",'AES Indiana Bill Calc.'!$D$18="Yes 50%"),'AES Indiana Bill Calc.'!$D$19,-1)</f>
        <v>-1</v>
      </c>
      <c r="C443" s="1" t="s">
        <v>149</v>
      </c>
      <c r="F443" s="36" t="s">
        <v>60</v>
      </c>
      <c r="G443" s="17">
        <f>SUM(J443:M443,O443:P443,R443:AA443)</f>
        <v>39.909999999999997</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0.01</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5">
      <c r="B444" s="126">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53"/>
      <c r="B445" s="103">
        <f>IF(AND('AES Indiana Bill Calc.'!$D$17="UW",'AES Indiana Bill Calc.'!$D$18="Yes 25%"),'AES Indiana Bill Calc.'!$D$19,-1)</f>
        <v>-1</v>
      </c>
      <c r="C445" s="1" t="s">
        <v>150</v>
      </c>
      <c r="F445" s="36" t="s">
        <v>60</v>
      </c>
      <c r="G445" s="17">
        <f>SUM(J445:M445,O445:P445,R445:AA445)</f>
        <v>39.909999999999997</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0.01</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5">
      <c r="B446" s="126">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53"/>
      <c r="B447" s="103">
        <f>IF(AND('AES Indiana Bill Calc.'!$D$17="UW",'AES Indiana Bill Calc.'!$D$18="Yes 10%"),'AES Indiana Bill Calc.'!$D$19,-1)</f>
        <v>-1</v>
      </c>
      <c r="C447" s="1" t="s">
        <v>164</v>
      </c>
      <c r="F447" s="36" t="s">
        <v>60</v>
      </c>
      <c r="G447" s="17">
        <f>SUM(J447:M447,O447:P447,R447:AA447)</f>
        <v>39.909999999999997</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0.01</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5">
      <c r="B448" s="126">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53"/>
      <c r="B449" s="103">
        <f>IF(AND('AES Indiana Bill Calc.'!$D$17="UW",'AES Indiana Bill Calc.'!$D$18="No"),'AES Indiana Bill Calc.'!$D$19,-1)</f>
        <v>-1</v>
      </c>
      <c r="C449" s="1" t="s">
        <v>147</v>
      </c>
      <c r="F449" s="36" t="s">
        <v>60</v>
      </c>
      <c r="G449" s="17">
        <f>SUM(J449:M449,O449:P449,R449:AA449)</f>
        <v>39.909999999999997</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0.01</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 thickBot="1" x14ac:dyDescent="0.3">
      <c r="A450" s="21"/>
      <c r="B450" s="125">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5">
      <c r="B451" s="126">
        <v>-1</v>
      </c>
      <c r="G451" s="17"/>
      <c r="H451" s="19"/>
      <c r="I451" s="19"/>
      <c r="J451" s="8"/>
      <c r="K451" s="17"/>
      <c r="L451" s="8"/>
      <c r="M451" s="8"/>
      <c r="N451" s="8"/>
      <c r="O451" s="8"/>
      <c r="P451" s="8"/>
      <c r="Q451" s="8"/>
      <c r="R451" s="8"/>
      <c r="S451" s="17"/>
      <c r="T451" s="17"/>
      <c r="U451" s="17"/>
      <c r="V451" s="27">
        <f>+T10</f>
        <v>0</v>
      </c>
      <c r="W451" s="6" t="s">
        <v>172</v>
      </c>
      <c r="X451" s="17"/>
      <c r="Y451" s="17"/>
      <c r="Z451" s="17"/>
      <c r="AA451" s="17"/>
      <c r="AB451" s="19" t="e">
        <f>+AB$461-V$461+#REF!</f>
        <v>#REF!</v>
      </c>
    </row>
    <row r="452" spans="1:29" x14ac:dyDescent="0.25">
      <c r="B452" s="126">
        <v>-1</v>
      </c>
      <c r="L452" t="s">
        <v>193</v>
      </c>
      <c r="M452" t="s">
        <v>193</v>
      </c>
      <c r="S452" s="6"/>
      <c r="T452" s="6"/>
      <c r="U452" s="6"/>
      <c r="V452" s="27">
        <f>+T12</f>
        <v>0</v>
      </c>
      <c r="W452" s="6" t="s">
        <v>154</v>
      </c>
      <c r="X452" s="6"/>
      <c r="Y452" s="6"/>
      <c r="Z452" s="6"/>
      <c r="AA452" s="6"/>
      <c r="AB452" s="19">
        <f>+AB$461-V$461+V451</f>
        <v>2.7919999999999985E-3</v>
      </c>
    </row>
    <row r="453" spans="1:29" x14ac:dyDescent="0.25">
      <c r="B453" s="126">
        <v>-1</v>
      </c>
      <c r="S453" s="6"/>
      <c r="T453" s="6"/>
      <c r="U453" s="6"/>
      <c r="V453" s="27">
        <f>+T14</f>
        <v>0</v>
      </c>
      <c r="W453" s="6" t="s">
        <v>155</v>
      </c>
      <c r="X453" s="6"/>
      <c r="Y453" s="6"/>
      <c r="Z453" s="6"/>
      <c r="AA453" s="6"/>
      <c r="AB453" s="19">
        <f>+AB$461-V$461+V452</f>
        <v>2.7919999999999985E-3</v>
      </c>
    </row>
    <row r="454" spans="1:29" x14ac:dyDescent="0.25">
      <c r="B454" s="126">
        <v>-1</v>
      </c>
      <c r="S454" s="6"/>
      <c r="T454" s="6"/>
      <c r="U454" s="6"/>
      <c r="V454" s="27">
        <f>T16</f>
        <v>-4.3999999999999999E-5</v>
      </c>
      <c r="W454" s="6" t="s">
        <v>156</v>
      </c>
      <c r="X454" s="6"/>
      <c r="Y454" s="6"/>
      <c r="Z454" s="6"/>
      <c r="AA454" s="6"/>
      <c r="AB454" s="19">
        <f>+AB$461-V$461+V453</f>
        <v>2.7919999999999985E-3</v>
      </c>
    </row>
    <row r="455" spans="1:29" x14ac:dyDescent="0.25">
      <c r="B455" s="126">
        <v>-1</v>
      </c>
      <c r="S455" s="6"/>
      <c r="T455" s="6"/>
      <c r="U455" s="6"/>
      <c r="V455" s="27">
        <f>$T$19</f>
        <v>1.15E-4</v>
      </c>
      <c r="W455" s="6" t="s">
        <v>157</v>
      </c>
      <c r="X455" s="6"/>
      <c r="Y455" s="6"/>
      <c r="Z455" s="6"/>
      <c r="AA455" s="6"/>
      <c r="AB455" s="19"/>
    </row>
    <row r="456" spans="1:29" x14ac:dyDescent="0.25">
      <c r="B456" s="126">
        <v>-1</v>
      </c>
      <c r="S456" s="6"/>
      <c r="T456" s="6"/>
      <c r="U456" s="6"/>
      <c r="V456" s="27">
        <f>$T$21</f>
        <v>4.6099999999999998E-4</v>
      </c>
      <c r="W456" s="6" t="s">
        <v>158</v>
      </c>
      <c r="X456" s="6"/>
      <c r="Y456" s="6"/>
      <c r="Z456" s="6"/>
      <c r="AA456" s="6"/>
      <c r="AB456" s="19"/>
    </row>
    <row r="457" spans="1:29" x14ac:dyDescent="0.25">
      <c r="B457" s="126">
        <v>-1</v>
      </c>
      <c r="S457" s="6"/>
      <c r="T457" s="6"/>
      <c r="U457" s="6"/>
      <c r="V457" s="27">
        <f>$T$23</f>
        <v>-8.1300000000000003E-4</v>
      </c>
      <c r="W457" s="6" t="s">
        <v>159</v>
      </c>
      <c r="X457" s="6"/>
      <c r="Y457" s="6"/>
      <c r="Z457" s="6"/>
      <c r="AA457" s="6"/>
      <c r="AB457" s="19"/>
    </row>
    <row r="458" spans="1:29" x14ac:dyDescent="0.25">
      <c r="B458" s="126">
        <v>-1</v>
      </c>
      <c r="S458" s="6"/>
      <c r="T458" s="6"/>
      <c r="U458" s="6"/>
      <c r="V458" s="27">
        <f>$T$25</f>
        <v>0</v>
      </c>
      <c r="W458" s="6" t="s">
        <v>160</v>
      </c>
      <c r="X458" s="6"/>
      <c r="Y458" s="6"/>
      <c r="Z458" s="6"/>
      <c r="AA458" s="6"/>
      <c r="AB458" s="19"/>
    </row>
    <row r="459" spans="1:29" x14ac:dyDescent="0.25">
      <c r="B459" s="126">
        <v>-1</v>
      </c>
      <c r="S459" s="6"/>
      <c r="T459" s="6"/>
      <c r="U459" s="6"/>
      <c r="V459" s="19">
        <f>T27</f>
        <v>0</v>
      </c>
      <c r="W459" s="6" t="s">
        <v>161</v>
      </c>
      <c r="X459" s="6"/>
      <c r="Y459" s="6"/>
      <c r="Z459" s="6"/>
      <c r="AA459" s="6"/>
      <c r="AB459" s="19"/>
    </row>
    <row r="460" spans="1:29" x14ac:dyDescent="0.25">
      <c r="B460" s="126"/>
      <c r="S460" s="6"/>
      <c r="T460" s="6"/>
      <c r="U460" s="6"/>
      <c r="V460" s="19">
        <f>T29</f>
        <v>2.6050000000000001E-3</v>
      </c>
      <c r="W460" s="6" t="s">
        <v>301</v>
      </c>
      <c r="X460" s="6"/>
      <c r="Y460" s="6"/>
      <c r="Z460" s="6"/>
      <c r="AA460" s="6"/>
      <c r="AB460" s="19"/>
    </row>
    <row r="461" spans="1:29" x14ac:dyDescent="0.25">
      <c r="B461" s="126">
        <v>-1</v>
      </c>
      <c r="C461" s="33" t="s">
        <v>194</v>
      </c>
      <c r="D461" s="70"/>
      <c r="F461" s="70"/>
      <c r="G461" s="70"/>
      <c r="H461" s="70"/>
      <c r="I461" s="70"/>
      <c r="J461" s="161">
        <v>120</v>
      </c>
      <c r="K461" s="162">
        <v>4.1430000000000002E-2</v>
      </c>
      <c r="L461" s="165"/>
      <c r="M461" s="161">
        <v>24.74</v>
      </c>
      <c r="N461" s="72"/>
      <c r="O461" s="161">
        <v>24.74</v>
      </c>
      <c r="P461" s="72"/>
      <c r="Q461" s="72"/>
      <c r="R461" s="5"/>
      <c r="S461" s="27">
        <f>+M$5</f>
        <v>2.5999999999999999E-3</v>
      </c>
      <c r="T461" s="27">
        <f t="shared" ref="T461:AA461" si="34">+R$5</f>
        <v>-7.7250000000000001E-3</v>
      </c>
      <c r="U461" s="27">
        <f t="shared" si="34"/>
        <v>6.1300000000000005E-4</v>
      </c>
      <c r="V461" s="27">
        <f t="shared" si="34"/>
        <v>5.5240000000000003E-3</v>
      </c>
      <c r="W461" s="27">
        <f t="shared" si="34"/>
        <v>0</v>
      </c>
      <c r="X461" s="27">
        <f t="shared" si="34"/>
        <v>2.9169999999999999E-3</v>
      </c>
      <c r="Y461" s="27">
        <f t="shared" si="34"/>
        <v>-9.9299999999999996E-4</v>
      </c>
      <c r="Z461" s="27">
        <f t="shared" si="34"/>
        <v>2.5500000000000002E-4</v>
      </c>
      <c r="AA461" s="27">
        <f t="shared" si="34"/>
        <v>-4.08E-4</v>
      </c>
      <c r="AB461" s="19">
        <f>SUM(U461:Z461)</f>
        <v>8.3159999999999987E-3</v>
      </c>
    </row>
    <row r="462" spans="1:29" x14ac:dyDescent="0.25">
      <c r="A462" s="1"/>
      <c r="B462" s="126">
        <v>-1</v>
      </c>
      <c r="C462" s="73">
        <v>50</v>
      </c>
      <c r="D462" s="70"/>
      <c r="F462" s="70"/>
      <c r="G462" s="70"/>
      <c r="H462" s="70"/>
      <c r="I462" s="70"/>
      <c r="J462" s="70"/>
      <c r="K462" s="70"/>
      <c r="M462" s="73">
        <v>500</v>
      </c>
      <c r="N462" s="73"/>
      <c r="O462" s="70"/>
      <c r="P462" s="70"/>
      <c r="Q462" s="70"/>
      <c r="R462" s="12" t="s">
        <v>195</v>
      </c>
    </row>
    <row r="463" spans="1:29" x14ac:dyDescent="0.25">
      <c r="B463" s="126">
        <v>-1</v>
      </c>
      <c r="D463" s="12" t="s">
        <v>196</v>
      </c>
      <c r="F463" s="12"/>
      <c r="J463" s="12" t="s">
        <v>137</v>
      </c>
      <c r="K463" s="12" t="s">
        <v>197</v>
      </c>
      <c r="N463" s="130" t="s">
        <v>138</v>
      </c>
      <c r="O463" s="15" t="s">
        <v>30</v>
      </c>
      <c r="P463" s="15"/>
      <c r="Q463" s="143" t="s">
        <v>173</v>
      </c>
      <c r="R463" s="12" t="s">
        <v>196</v>
      </c>
      <c r="S463" s="12">
        <v>21</v>
      </c>
      <c r="T463" s="12">
        <v>6</v>
      </c>
      <c r="U463" s="12">
        <v>3</v>
      </c>
      <c r="V463" s="12">
        <v>22</v>
      </c>
      <c r="W463" s="12">
        <v>13</v>
      </c>
      <c r="X463" s="12">
        <v>20</v>
      </c>
      <c r="Y463" s="12">
        <v>24</v>
      </c>
      <c r="Z463" s="12">
        <v>25</v>
      </c>
      <c r="AA463" s="12">
        <v>26</v>
      </c>
    </row>
    <row r="464" spans="1:29" x14ac:dyDescent="0.25">
      <c r="A464" s="13"/>
      <c r="B464" s="126">
        <v>-1</v>
      </c>
      <c r="C464" s="14" t="s">
        <v>192</v>
      </c>
      <c r="D464" s="13" t="s">
        <v>198</v>
      </c>
      <c r="E464" s="130" t="s">
        <v>199</v>
      </c>
      <c r="F464" s="13" t="s">
        <v>141</v>
      </c>
      <c r="G464" s="13" t="s">
        <v>142</v>
      </c>
      <c r="H464" s="13" t="s">
        <v>143</v>
      </c>
      <c r="I464" s="12"/>
      <c r="J464" s="13" t="s">
        <v>144</v>
      </c>
      <c r="K464" s="13" t="s">
        <v>144</v>
      </c>
      <c r="O464" s="13" t="s">
        <v>200</v>
      </c>
      <c r="P464" s="13" t="s">
        <v>146</v>
      </c>
      <c r="Q464" s="13"/>
      <c r="R464" s="13" t="s">
        <v>201</v>
      </c>
      <c r="S464" s="13" t="s">
        <v>106</v>
      </c>
      <c r="T464" s="13" t="s">
        <v>36</v>
      </c>
      <c r="U464" s="139" t="s">
        <v>38</v>
      </c>
      <c r="V464" s="13" t="s">
        <v>107</v>
      </c>
      <c r="W464" s="13" t="s">
        <v>108</v>
      </c>
      <c r="X464" s="13" t="s">
        <v>109</v>
      </c>
      <c r="Y464" s="139" t="s">
        <v>44</v>
      </c>
      <c r="Z464" s="139" t="s">
        <v>46</v>
      </c>
      <c r="AA464" s="139" t="s">
        <v>48</v>
      </c>
      <c r="AB464" s="66" t="s">
        <v>110</v>
      </c>
    </row>
    <row r="465" spans="1:29" ht="13" x14ac:dyDescent="0.3">
      <c r="B465" s="126">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ht="13" x14ac:dyDescent="0.3">
      <c r="A466" s="1" t="s">
        <v>148</v>
      </c>
      <c r="B466" s="103">
        <f>IF(AND('AES Indiana Bill Calc.'!$D$17="SL",'AES Indiana Bill Calc.'!$D$18="Yes 100%",'AES Indiana Bill Calc.'!$D$20="No"),'AES Indiana Bill Calc.'!$D$19,-1)</f>
        <v>-1</v>
      </c>
      <c r="C466" s="103">
        <f>MAX(E466,$C$462)</f>
        <v>50</v>
      </c>
      <c r="D466" s="103" t="b">
        <f>IF(AND('AES Indiana Bill Calc.'!$D$17="SL",'AES Indiana Bill Calc.'!$D$18="Yes 100%",'AES Indiana Bill Calc.'!$D$20="No"),'AES Indiana Bill Calc.'!$D$22)</f>
        <v>0</v>
      </c>
      <c r="E466" s="103" t="b">
        <f>IF(AND('AES Indiana Bill Calc.'!$D$17="SL",'AES Indiana Bill Calc.'!$D$18="Yes 100%",'AES Indiana Bill Calc.'!$D$20="No"),'AES Indiana Bill Calc.'!$D$21)</f>
        <v>0</v>
      </c>
      <c r="F466" s="36" t="s">
        <v>61</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0.01</v>
      </c>
      <c r="U466" s="17">
        <f t="shared" si="35"/>
        <v>0</v>
      </c>
      <c r="V466" s="17">
        <f t="shared" si="35"/>
        <v>-0.01</v>
      </c>
      <c r="W466" s="17">
        <f t="shared" si="35"/>
        <v>0</v>
      </c>
      <c r="X466" s="17">
        <f t="shared" si="35"/>
        <v>0</v>
      </c>
      <c r="Y466" s="17">
        <f t="shared" si="35"/>
        <v>0</v>
      </c>
      <c r="Z466" s="17">
        <f t="shared" si="35"/>
        <v>0</v>
      </c>
      <c r="AA466" s="17">
        <f t="shared" si="35"/>
        <v>0</v>
      </c>
      <c r="AB466" s="19">
        <f>SUM(U461:AA461)</f>
        <v>7.9079999999999984E-3</v>
      </c>
      <c r="AC466" s="67" t="str">
        <f>+F466</f>
        <v>SL</v>
      </c>
    </row>
    <row r="467" spans="1:29" ht="13" x14ac:dyDescent="0.3">
      <c r="A467" s="9"/>
      <c r="B467" s="126">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ht="13" x14ac:dyDescent="0.3">
      <c r="A468" s="1" t="s">
        <v>149</v>
      </c>
      <c r="B468" s="103">
        <f>IF(AND('AES Indiana Bill Calc.'!$D$17="SL",'AES Indiana Bill Calc.'!$D$18="Yes 50%",'AES Indiana Bill Calc.'!$D$20="No"),'AES Indiana Bill Calc.'!$D$19,-1)</f>
        <v>-1</v>
      </c>
      <c r="C468" s="103">
        <f>MAX(E468,$C$462)</f>
        <v>50</v>
      </c>
      <c r="D468" s="103" t="b">
        <f>IF(AND('AES Indiana Bill Calc.'!$D$17="SL",'AES Indiana Bill Calc.'!$D$18="Yes 50%",'AES Indiana Bill Calc.'!$D$20="No"),'AES Indiana Bill Calc.'!$D$22)</f>
        <v>0</v>
      </c>
      <c r="E468" s="103" t="b">
        <f>IF(AND('AES Indiana Bill Calc.'!$D$17="SL",'AES Indiana Bill Calc.'!$D$18="Yes 50%",'AES Indiana Bill Calc.'!$D$20="No"),'AES Indiana Bill Calc.'!$D$21)</f>
        <v>0</v>
      </c>
      <c r="F468" s="36" t="s">
        <v>61</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0.01</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ht="13" x14ac:dyDescent="0.3">
      <c r="A469" s="9"/>
      <c r="B469" s="126">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ht="13" x14ac:dyDescent="0.3">
      <c r="A470" s="1" t="s">
        <v>150</v>
      </c>
      <c r="B470" s="103">
        <f>IF(AND('AES Indiana Bill Calc.'!$D$17="SL",'AES Indiana Bill Calc.'!$D$18="Yes 25%",'AES Indiana Bill Calc.'!$D$20="No"),'AES Indiana Bill Calc.'!$D$19,-1)</f>
        <v>-1</v>
      </c>
      <c r="C470" s="103">
        <f>MAX(E470,$C$462)</f>
        <v>50</v>
      </c>
      <c r="D470" s="103" t="b">
        <f>IF(AND('AES Indiana Bill Calc.'!$D$17="SL",'AES Indiana Bill Calc.'!$D$18="Yes 25%",'AES Indiana Bill Calc.'!$D$20="No"),'AES Indiana Bill Calc.'!$D$22)</f>
        <v>0</v>
      </c>
      <c r="E470" s="103" t="b">
        <f>IF(AND('AES Indiana Bill Calc.'!$D$17="SL",'AES Indiana Bill Calc.'!$D$18="Yes 25%",'AES Indiana Bill Calc.'!$D$20="No"),'AES Indiana Bill Calc.'!$D$21)</f>
        <v>0</v>
      </c>
      <c r="F470" s="36" t="s">
        <v>61</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0.01</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ht="13" x14ac:dyDescent="0.3">
      <c r="A471" s="9"/>
      <c r="B471" s="103">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ht="13" x14ac:dyDescent="0.3">
      <c r="A472" s="1" t="s">
        <v>164</v>
      </c>
      <c r="B472" s="103">
        <f>IF(AND('AES Indiana Bill Calc.'!$D$17="SL",'AES Indiana Bill Calc.'!$D$18="Yes 10%",'AES Indiana Bill Calc.'!$D$20="No"),'AES Indiana Bill Calc.'!$D$19,-1)</f>
        <v>-1</v>
      </c>
      <c r="C472" s="103">
        <f>MAX(E472,$C$462)</f>
        <v>50</v>
      </c>
      <c r="D472" s="103" t="b">
        <f>IF(AND('AES Indiana Bill Calc.'!$D$17="SL",'AES Indiana Bill Calc.'!$D$18="Yes 10%",'AES Indiana Bill Calc.'!$D$20="No"),'AES Indiana Bill Calc.'!$D$22)</f>
        <v>0</v>
      </c>
      <c r="E472" s="103" t="b">
        <f>IF(AND('AES Indiana Bill Calc.'!$D$17="SL",'AES Indiana Bill Calc.'!$D$18="Yes 10%",'AES Indiana Bill Calc.'!$D$20="No"),'AES Indiana Bill Calc.'!$D$21)</f>
        <v>0</v>
      </c>
      <c r="F472" s="36" t="s">
        <v>61</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0.01</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ht="13" x14ac:dyDescent="0.3">
      <c r="A473" s="9"/>
      <c r="B473" s="103">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ht="13" x14ac:dyDescent="0.3">
      <c r="A474" s="1" t="s">
        <v>147</v>
      </c>
      <c r="B474" s="103">
        <f>IF(AND('AES Indiana Bill Calc.'!$D$17="SL",'AES Indiana Bill Calc.'!$D$18="No",'AES Indiana Bill Calc.'!$D$20="No"),'AES Indiana Bill Calc.'!$D$19,-1)</f>
        <v>-1</v>
      </c>
      <c r="C474" s="103">
        <f>MAX(E474,$C$462)</f>
        <v>50</v>
      </c>
      <c r="D474" s="103" t="b">
        <f>IF(AND('AES Indiana Bill Calc.'!$D$17="SL",'AES Indiana Bill Calc.'!$D$18="No",'AES Indiana Bill Calc.'!$D$20="No"),'AES Indiana Bill Calc.'!$D$22)</f>
        <v>0</v>
      </c>
      <c r="E474" s="103" t="b">
        <f>IF(AND('AES Indiana Bill Calc.'!$D$17="SL",'AES Indiana Bill Calc.'!$D$18="No",'AES Indiana Bill Calc.'!$D$20="No"),'AES Indiana Bill Calc.'!$D$21)</f>
        <v>0</v>
      </c>
      <c r="F474" s="36" t="s">
        <v>61</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0.01</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ht="13" x14ac:dyDescent="0.3">
      <c r="B475" s="103">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ht="13" x14ac:dyDescent="0.3">
      <c r="A476" s="1" t="s">
        <v>148</v>
      </c>
      <c r="B476" s="103">
        <f>IF(AND('AES Indiana Bill Calc.'!$D$17="SL",'AES Indiana Bill Calc.'!$D$18="Yes 100%",'AES Indiana Bill Calc.'!$D$20="Yes Before 2018"),'AES Indiana Bill Calc.'!$D$19,-1)</f>
        <v>-1</v>
      </c>
      <c r="C476" s="103">
        <f>MAX(E476,$C$462)</f>
        <v>50</v>
      </c>
      <c r="D476" s="103" t="b">
        <f>IF(AND('AES Indiana Bill Calc.'!$D$17="SL",'AES Indiana Bill Calc.'!$D$18="Yes 100%",'AES Indiana Bill Calc.'!$D$20="Yes Before 2018"),'AES Indiana Bill Calc.'!$D$22)</f>
        <v>0</v>
      </c>
      <c r="E476" s="103" t="b">
        <f>IF(AND('AES Indiana Bill Calc.'!$D$17="SL",'AES Indiana Bill Calc.'!$D$18="Yes 100%",'AES Indiana Bill Calc.'!$D$20="Yes Before 2018"),'AES Indiana Bill Calc.'!$D$21)</f>
        <v>0</v>
      </c>
      <c r="F476" s="36" t="s">
        <v>202</v>
      </c>
      <c r="G476" s="17" t="e">
        <f>SUM(J476:M476,O476:P476,R476:AA476)</f>
        <v>#N/A</v>
      </c>
      <c r="H476" s="19" t="e">
        <f>IF(ISBLANK(B476),0,+#REF!/B476)</f>
        <v>#REF!</v>
      </c>
      <c r="J476" s="82">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0.01</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2.3839999999999981E-3</v>
      </c>
      <c r="AC476" s="94" t="str">
        <f>+F476</f>
        <v>SL7</v>
      </c>
    </row>
    <row r="477" spans="1:29" ht="13" x14ac:dyDescent="0.3">
      <c r="A477" s="9"/>
      <c r="B477" s="103">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ht="13" x14ac:dyDescent="0.3">
      <c r="A478" s="1" t="s">
        <v>149</v>
      </c>
      <c r="B478" s="103">
        <f>IF(AND('AES Indiana Bill Calc.'!$D$17="SL",'AES Indiana Bill Calc.'!$D$18="Yes 50%",'AES Indiana Bill Calc.'!$D$20="Yes Before 2018"),'AES Indiana Bill Calc.'!$D$19,-1)</f>
        <v>-1</v>
      </c>
      <c r="C478" s="103">
        <f>MAX(E478,$C$462)</f>
        <v>50</v>
      </c>
      <c r="D478" s="103" t="b">
        <f>IF(AND('AES Indiana Bill Calc.'!$D$17="SL",'AES Indiana Bill Calc.'!$D$18="Yes 50%",'AES Indiana Bill Calc.'!$D$20="Yes Before 2018"),'AES Indiana Bill Calc.'!$D$22)</f>
        <v>0</v>
      </c>
      <c r="E478" s="103" t="b">
        <f>IF(AND('AES Indiana Bill Calc.'!$D$17="SL",'AES Indiana Bill Calc.'!$D$18="Yes 50%",'AES Indiana Bill Calc.'!$D$20="Yes Before 2018"),'AES Indiana Bill Calc.'!$D$21)</f>
        <v>0</v>
      </c>
      <c r="F478" s="36" t="s">
        <v>202</v>
      </c>
      <c r="G478" s="17" t="e">
        <f>SUM(J478:M478,O478:P478,R478:AA478)</f>
        <v>#N/A</v>
      </c>
      <c r="H478" s="19" t="e">
        <f>IF(ISBLANK(B478),0,+#REF!/B478)</f>
        <v>#REF!</v>
      </c>
      <c r="J478" s="82">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0.01</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2.4989999999999978E-3</v>
      </c>
      <c r="AC478" s="94" t="str">
        <f>+F478</f>
        <v>SL7</v>
      </c>
    </row>
    <row r="479" spans="1:29" ht="13" x14ac:dyDescent="0.3">
      <c r="A479" s="9"/>
      <c r="B479" s="103">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ht="13" x14ac:dyDescent="0.3">
      <c r="A480" s="1" t="s">
        <v>150</v>
      </c>
      <c r="B480" s="103">
        <f>IF(AND('AES Indiana Bill Calc.'!$D$17="SL",'AES Indiana Bill Calc.'!$D$18="Yes 25%",'AES Indiana Bill Calc.'!$D$20="Yes Before 2018"),'AES Indiana Bill Calc.'!$D$19,-1)</f>
        <v>-1</v>
      </c>
      <c r="C480" s="103">
        <f>MAX(E480,$C$462)</f>
        <v>50</v>
      </c>
      <c r="D480" s="103" t="b">
        <f>IF(AND('AES Indiana Bill Calc.'!$D$17="SL",'AES Indiana Bill Calc.'!$D$18="Yes 25%",'AES Indiana Bill Calc.'!$D$20="Yes Before 2018"),'AES Indiana Bill Calc.'!$D$22)</f>
        <v>0</v>
      </c>
      <c r="E480" s="103" t="b">
        <f>IF(AND('AES Indiana Bill Calc.'!$D$17="SL",'AES Indiana Bill Calc.'!$D$18="Yes 25%",'AES Indiana Bill Calc.'!$D$20="Yes Before 2018"),'AES Indiana Bill Calc.'!$D$21)</f>
        <v>0</v>
      </c>
      <c r="F480" s="36" t="s">
        <v>202</v>
      </c>
      <c r="G480" s="17" t="e">
        <f>SUM(J480:M480,O480:P480,R480:AA480)</f>
        <v>#N/A</v>
      </c>
      <c r="H480" s="19" t="e">
        <f>IF(ISBLANK(B480),0,+#REF!/B480)</f>
        <v>#REF!</v>
      </c>
      <c r="J480" s="82">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0.01</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1.5709999999999977E-3</v>
      </c>
      <c r="AC480" s="94" t="str">
        <f>+F480</f>
        <v>SL7</v>
      </c>
    </row>
    <row r="481" spans="1:29" ht="13" x14ac:dyDescent="0.3">
      <c r="A481" s="9"/>
      <c r="B481" s="103">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ht="13" x14ac:dyDescent="0.3">
      <c r="A482" s="1" t="s">
        <v>164</v>
      </c>
      <c r="B482" s="103">
        <f>IF(AND('AES Indiana Bill Calc.'!$D$17="SL",'AES Indiana Bill Calc.'!$D$18="Yes 10%",'AES Indiana Bill Calc.'!$D$20="Yes Before 2018"),'AES Indiana Bill Calc.'!$D$19,-1)</f>
        <v>-1</v>
      </c>
      <c r="C482" s="103">
        <f>MAX(E482,$C$462)</f>
        <v>50</v>
      </c>
      <c r="D482" s="103" t="b">
        <f>IF(AND('AES Indiana Bill Calc.'!$D$17="SL",'AES Indiana Bill Calc.'!$D$18="Yes 10%",'AES Indiana Bill Calc.'!$D$20="Yes Before 2018"),'AES Indiana Bill Calc.'!$D$22)</f>
        <v>0</v>
      </c>
      <c r="E482" s="103" t="b">
        <f>IF(AND('AES Indiana Bill Calc.'!$D$17="SL",'AES Indiana Bill Calc.'!$D$18="Yes 10%",'AES Indiana Bill Calc.'!$D$20="Yes Before 2018"),'AES Indiana Bill Calc.'!$D$21)</f>
        <v>0</v>
      </c>
      <c r="F482" s="36" t="s">
        <v>202</v>
      </c>
      <c r="G482" s="17" t="e">
        <f>SUM(J482:M482,O482:P482,R482:AA482)</f>
        <v>#N/A</v>
      </c>
      <c r="H482" s="19" t="e">
        <f>IF(ISBLANK(B482),0,+#REF!/B482)</f>
        <v>#REF!</v>
      </c>
      <c r="J482" s="82">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0.01</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2.3839999999999981E-3</v>
      </c>
      <c r="AC482" s="94" t="str">
        <f>+F482</f>
        <v>SL7</v>
      </c>
    </row>
    <row r="483" spans="1:29" ht="13" x14ac:dyDescent="0.3">
      <c r="A483" s="9"/>
      <c r="B483" s="103">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ht="13" x14ac:dyDescent="0.3">
      <c r="A484" s="1" t="s">
        <v>147</v>
      </c>
      <c r="B484" s="103">
        <f>IF(AND('AES Indiana Bill Calc.'!$D$17="SL",'AES Indiana Bill Calc.'!$D$18="No",'AES Indiana Bill Calc.'!$D$20="Yes Before 2018"),'AES Indiana Bill Calc.'!$D$19,-1)</f>
        <v>-1</v>
      </c>
      <c r="C484" s="103">
        <f>MAX(E484,$C$462)</f>
        <v>50</v>
      </c>
      <c r="D484" s="103" t="b">
        <f>IF(AND('AES Indiana Bill Calc.'!$D$17="SL",'AES Indiana Bill Calc.'!$D$18="No",'AES Indiana Bill Calc.'!$D$20="Yes Before 2018"),'AES Indiana Bill Calc.'!$D$22)</f>
        <v>0</v>
      </c>
      <c r="E484" s="103" t="b">
        <f>IF(AND('AES Indiana Bill Calc.'!$D$17="SL",'AES Indiana Bill Calc.'!$D$18="No",'AES Indiana Bill Calc.'!$D$20="Yes Before 2018"),'AES Indiana Bill Calc.'!$D$21)</f>
        <v>0</v>
      </c>
      <c r="F484" s="36" t="s">
        <v>202</v>
      </c>
      <c r="G484" s="17" t="e">
        <f>SUM(J484:M484,O484:P484,R484:AA484)</f>
        <v>#N/A</v>
      </c>
      <c r="H484" s="19" t="e">
        <f>IF(ISBLANK(B484),0,+#REF!/B484)</f>
        <v>#REF!</v>
      </c>
      <c r="J484" s="82">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0.01</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4" t="str">
        <f>+F484</f>
        <v>SL7</v>
      </c>
    </row>
    <row r="485" spans="1:29" ht="13" x14ac:dyDescent="0.3">
      <c r="B485" s="103">
        <v>-1</v>
      </c>
      <c r="D485" s="32"/>
      <c r="E485" s="103"/>
      <c r="F485" s="36"/>
      <c r="G485" s="92"/>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ht="13" x14ac:dyDescent="0.3">
      <c r="A486" s="1" t="s">
        <v>148</v>
      </c>
      <c r="B486" s="103">
        <f>IF(AND('AES Indiana Bill Calc.'!$D$17="SL",'AES Indiana Bill Calc.'!$D$18="Yes 100%",'AES Indiana Bill Calc.'!$D$20="Yes 2018"),'AES Indiana Bill Calc.'!$D$19,-1)</f>
        <v>-1</v>
      </c>
      <c r="C486" s="103">
        <f>MAX(E486,$C$462)</f>
        <v>50</v>
      </c>
      <c r="D486" s="103" t="b">
        <f>IF(AND('AES Indiana Bill Calc.'!$D$17="SL",'AES Indiana Bill Calc.'!$D$18="Yes 100%",'AES Indiana Bill Calc.'!$D$20="Yes 2018"),'AES Indiana Bill Calc.'!$D$22)</f>
        <v>0</v>
      </c>
      <c r="E486" s="103" t="b">
        <f>IF(AND('AES Indiana Bill Calc.'!$D$17="SL",'AES Indiana Bill Calc.'!$D$18="Yes 100%",'AES Indiana Bill Calc.'!$D$20="Yes 2018"),'AES Indiana Bill Calc.'!$D$21)</f>
        <v>0</v>
      </c>
      <c r="F486" s="36" t="s">
        <v>203</v>
      </c>
      <c r="G486" s="17" t="e">
        <f>SUM(J486:M486,O486:P486,R486:AA486)</f>
        <v>#N/A</v>
      </c>
      <c r="H486" s="19" t="e">
        <f>IF(ISBLANK(B486),0,+#REF!/B486)</f>
        <v>#REF!</v>
      </c>
      <c r="J486" s="82">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0.01</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2.3839999999999981E-3</v>
      </c>
      <c r="AC486" s="94" t="str">
        <f>+F486</f>
        <v>SL8</v>
      </c>
    </row>
    <row r="487" spans="1:29" ht="13" x14ac:dyDescent="0.3">
      <c r="A487" s="9"/>
      <c r="B487" s="103">
        <v>-1</v>
      </c>
      <c r="D487" s="32"/>
      <c r="E487" s="103"/>
      <c r="F487" s="36"/>
      <c r="G487" s="92"/>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ht="13" x14ac:dyDescent="0.3">
      <c r="A488" s="1" t="s">
        <v>149</v>
      </c>
      <c r="B488" s="103">
        <f>IF(AND('AES Indiana Bill Calc.'!$D$17="SL",'AES Indiana Bill Calc.'!$D$18="Yes 50%",'AES Indiana Bill Calc.'!$D$20="Yes 2018"),'AES Indiana Bill Calc.'!$D$19,-1)</f>
        <v>-1</v>
      </c>
      <c r="C488" s="103">
        <f>MAX(E488,$C$462)</f>
        <v>50</v>
      </c>
      <c r="D488" s="103" t="b">
        <f>IF(AND('AES Indiana Bill Calc.'!$D$17="SL",'AES Indiana Bill Calc.'!$D$18="Yes 50%",'AES Indiana Bill Calc.'!$D$20="Yes 2018"),'AES Indiana Bill Calc.'!$D$22)</f>
        <v>0</v>
      </c>
      <c r="E488" s="103" t="b">
        <f>IF(AND('AES Indiana Bill Calc.'!$D$17="SL",'AES Indiana Bill Calc.'!$D$18="Yes 50%",'AES Indiana Bill Calc.'!$D$20="Yes 2018"),'AES Indiana Bill Calc.'!$D$21)</f>
        <v>0</v>
      </c>
      <c r="F488" s="36" t="s">
        <v>203</v>
      </c>
      <c r="G488" s="17" t="e">
        <f>SUM(J488:M488,O488:P488,R488:AA488)</f>
        <v>#N/A</v>
      </c>
      <c r="H488" s="19" t="e">
        <f>IF(ISBLANK(B488),0,+#REF!/B488)</f>
        <v>#REF!</v>
      </c>
      <c r="J488" s="82">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0.01</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4" t="str">
        <f>+F488</f>
        <v>SL8</v>
      </c>
    </row>
    <row r="489" spans="1:29" ht="13" x14ac:dyDescent="0.3">
      <c r="A489" s="9"/>
      <c r="B489" s="103">
        <v>-1</v>
      </c>
      <c r="D489" s="32"/>
      <c r="E489" s="103"/>
      <c r="F489" s="36"/>
      <c r="G489" s="92"/>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ht="13" x14ac:dyDescent="0.3">
      <c r="A490" s="1" t="s">
        <v>150</v>
      </c>
      <c r="B490" s="103">
        <f>IF(AND('AES Indiana Bill Calc.'!$D$17="SL",'AES Indiana Bill Calc.'!$D$18="Yes 25%",'AES Indiana Bill Calc.'!$D$20="Yes 2018"),'AES Indiana Bill Calc.'!$D$19,-1)</f>
        <v>-1</v>
      </c>
      <c r="C490" s="103">
        <f>MAX(E490,$C$462)</f>
        <v>50</v>
      </c>
      <c r="D490" s="103" t="b">
        <f>IF(AND('AES Indiana Bill Calc.'!$D$17="SL",'AES Indiana Bill Calc.'!$D$18="Yes 25%",'AES Indiana Bill Calc.'!$D$20="Yes 2018"),'AES Indiana Bill Calc.'!$D$22)</f>
        <v>0</v>
      </c>
      <c r="E490" s="103" t="b">
        <f>IF(AND('AES Indiana Bill Calc.'!$D$17="SL",'AES Indiana Bill Calc.'!$D$18="Yes 25%",'AES Indiana Bill Calc.'!$D$20="Yes 2018"),'AES Indiana Bill Calc.'!$D$21)</f>
        <v>0</v>
      </c>
      <c r="F490" s="36" t="s">
        <v>203</v>
      </c>
      <c r="G490" s="17" t="e">
        <f>SUM(J490:M490,O490:P490,R490:AA490)</f>
        <v>#N/A</v>
      </c>
      <c r="H490" s="19" t="e">
        <f>IF(ISBLANK(B490),0,+#REF!/B490)</f>
        <v>#REF!</v>
      </c>
      <c r="J490" s="82">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0.01</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-7.6160000000000012E-3</v>
      </c>
      <c r="AC490" s="94" t="str">
        <f>+F490</f>
        <v>SL8</v>
      </c>
    </row>
    <row r="491" spans="1:29" ht="13" x14ac:dyDescent="0.3">
      <c r="A491" s="9"/>
      <c r="B491" s="103">
        <v>-1</v>
      </c>
      <c r="D491" s="32"/>
      <c r="E491" s="103"/>
      <c r="F491" s="36"/>
      <c r="G491" s="92"/>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ht="13" x14ac:dyDescent="0.3">
      <c r="A492" s="1" t="s">
        <v>164</v>
      </c>
      <c r="B492" s="103">
        <f>IF(AND('AES Indiana Bill Calc.'!$D$17="SL",'AES Indiana Bill Calc.'!$D$18="Yes 10%",'AES Indiana Bill Calc.'!$D$20="Yes 2018"),'AES Indiana Bill Calc.'!$D$19,-1)</f>
        <v>-1</v>
      </c>
      <c r="C492" s="103">
        <f>MAX(E492,$C$462)</f>
        <v>50</v>
      </c>
      <c r="D492" s="103" t="b">
        <f>IF(AND('AES Indiana Bill Calc.'!$D$17="SL",'AES Indiana Bill Calc.'!$D$18="Yes 10%",'AES Indiana Bill Calc.'!$D$20="Yes 2018"),'AES Indiana Bill Calc.'!$D$22)</f>
        <v>0</v>
      </c>
      <c r="E492" s="103" t="b">
        <f>IF(AND('AES Indiana Bill Calc.'!$D$17="SL",'AES Indiana Bill Calc.'!$D$18="Yes 10%",'AES Indiana Bill Calc.'!$D$20="Yes 2018"),'AES Indiana Bill Calc.'!$D$21)</f>
        <v>0</v>
      </c>
      <c r="F492" s="36" t="s">
        <v>203</v>
      </c>
      <c r="G492" s="17" t="e">
        <f>SUM(J492:M492,O492:P492,R492:AA492)</f>
        <v>#N/A</v>
      </c>
      <c r="H492" s="19" t="e">
        <f>IF(ISBLANK(B492),0,+#REF!/B492)</f>
        <v>#REF!</v>
      </c>
      <c r="J492" s="82">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0.01</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-7.6160000000000012E-3</v>
      </c>
      <c r="AC492" s="94" t="str">
        <f>+F492</f>
        <v>SL8</v>
      </c>
    </row>
    <row r="493" spans="1:29" ht="13" x14ac:dyDescent="0.3">
      <c r="A493" s="9"/>
      <c r="B493" s="103">
        <v>-1</v>
      </c>
      <c r="D493" s="32"/>
      <c r="E493" s="103"/>
      <c r="F493" s="36"/>
      <c r="G493" s="92"/>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ht="13" x14ac:dyDescent="0.3">
      <c r="A494" s="1" t="s">
        <v>147</v>
      </c>
      <c r="B494" s="103">
        <f>IF(AND('AES Indiana Bill Calc.'!$D$17="SL",'AES Indiana Bill Calc.'!$D$18="No",'AES Indiana Bill Calc.'!$D$20="Yes 2018"),'AES Indiana Bill Calc.'!$D$19,-1)</f>
        <v>-1</v>
      </c>
      <c r="C494" s="103">
        <f>MAX(E494,$C$462)</f>
        <v>50</v>
      </c>
      <c r="D494" s="103" t="b">
        <f>IF(AND('AES Indiana Bill Calc.'!$D$17="SL",'AES Indiana Bill Calc.'!$D$18="No",'AES Indiana Bill Calc.'!$D$20="Yes 2018"),'AES Indiana Bill Calc.'!$D$22)</f>
        <v>0</v>
      </c>
      <c r="E494" s="103" t="b">
        <f>IF(AND('AES Indiana Bill Calc.'!$D$17="SL",'AES Indiana Bill Calc.'!$D$18="No",'AES Indiana Bill Calc.'!$D$20="Yes 2018"),'AES Indiana Bill Calc.'!$D$21)</f>
        <v>0</v>
      </c>
      <c r="F494" s="36" t="s">
        <v>203</v>
      </c>
      <c r="G494" s="17" t="e">
        <f>SUM(J494:M494,O494:P494,R494:AA494)</f>
        <v>#N/A</v>
      </c>
      <c r="H494" s="19" t="e">
        <f>IF(ISBLANK(B494),0,+#REF!/B494)</f>
        <v>#REF!</v>
      </c>
      <c r="J494" s="82">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0.01</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-7.6160000000000012E-3</v>
      </c>
      <c r="AC494" s="94" t="str">
        <f>+F494</f>
        <v>SL8</v>
      </c>
    </row>
    <row r="495" spans="1:29" ht="13" x14ac:dyDescent="0.3">
      <c r="A495" s="53"/>
      <c r="B495" s="97">
        <v>-1</v>
      </c>
      <c r="D495" s="87"/>
      <c r="E495" s="97"/>
      <c r="F495" s="36"/>
      <c r="G495" s="98"/>
      <c r="H495" s="19"/>
      <c r="J495" s="104"/>
      <c r="K495" s="98"/>
      <c r="O495" s="98"/>
      <c r="P495" s="98"/>
      <c r="Q495" s="98"/>
      <c r="R495" s="38" t="e">
        <f>INDEX('Pwr Factor'!$A$1:$B$52,MATCH((D496),'Pwr Factor'!$A$1:$A$52,0),2)</f>
        <v>#N/A</v>
      </c>
      <c r="S495" s="50">
        <v>1</v>
      </c>
      <c r="T495" s="98"/>
      <c r="U495" s="98"/>
      <c r="V495" s="87"/>
      <c r="W495" s="98"/>
      <c r="X495" s="98"/>
      <c r="Y495" s="98"/>
      <c r="Z495" s="98"/>
      <c r="AA495" s="98"/>
      <c r="AB495" s="19"/>
      <c r="AC495" s="105"/>
    </row>
    <row r="496" spans="1:29" ht="13" x14ac:dyDescent="0.3">
      <c r="A496" s="1" t="s">
        <v>148</v>
      </c>
      <c r="B496" s="103">
        <f>IF(AND('AES Indiana Bill Calc.'!$D$17="SL",'AES Indiana Bill Calc.'!$D$18="Yes 100%",'AES Indiana Bill Calc.'!$D$20="Yes 2019"),'AES Indiana Bill Calc.'!$D$19,-1)</f>
        <v>-1</v>
      </c>
      <c r="C496" s="103">
        <f>MAX(E496,$C$462)</f>
        <v>50</v>
      </c>
      <c r="D496" s="103" t="b">
        <f>IF(AND('AES Indiana Bill Calc.'!$D$17="SL",'AES Indiana Bill Calc.'!$D$18="Yes 100%",'AES Indiana Bill Calc.'!$D$20="Yes 2019"),'AES Indiana Bill Calc.'!$D$22)</f>
        <v>0</v>
      </c>
      <c r="E496" s="103" t="b">
        <f>IF(AND('AES Indiana Bill Calc.'!$D$17="SL",'AES Indiana Bill Calc.'!$D$18="Yes 100%",'AES Indiana Bill Calc.'!$D$20="Yes 2019"),'AES Indiana Bill Calc.'!$D$21)</f>
        <v>0</v>
      </c>
      <c r="F496" s="36" t="s">
        <v>204</v>
      </c>
      <c r="G496" s="17" t="e">
        <f>SUM(J496:M496,O496:P496,R496:AA496)</f>
        <v>#N/A</v>
      </c>
      <c r="H496" s="19" t="e">
        <f>IF(ISBLANK(B496),0,+#REF!/B496)</f>
        <v>#REF!</v>
      </c>
      <c r="J496" s="82">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0.01</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4" t="str">
        <f>+F496</f>
        <v>SL9</v>
      </c>
    </row>
    <row r="497" spans="1:123" ht="13" x14ac:dyDescent="0.3">
      <c r="A497" s="9"/>
      <c r="B497" s="97">
        <v>-1</v>
      </c>
      <c r="D497" s="87"/>
      <c r="E497" s="97"/>
      <c r="F497" s="36"/>
      <c r="G497" s="98"/>
      <c r="H497" s="19"/>
      <c r="J497" s="104"/>
      <c r="K497" s="98"/>
      <c r="O497" s="98"/>
      <c r="P497" s="98"/>
      <c r="Q497" s="98"/>
      <c r="R497" s="38" t="e">
        <f>INDEX('Pwr Factor'!$A$1:$B$52,MATCH((D498),'Pwr Factor'!$A$1:$A$52,0),2)</f>
        <v>#N/A</v>
      </c>
      <c r="S497" s="50">
        <v>0.5</v>
      </c>
      <c r="T497" s="98"/>
      <c r="U497" s="98"/>
      <c r="V497" s="87"/>
      <c r="W497" s="98"/>
      <c r="X497" s="98"/>
      <c r="Y497" s="98"/>
      <c r="Z497" s="98"/>
      <c r="AA497" s="98"/>
      <c r="AB497" s="19"/>
      <c r="AC497" s="105"/>
    </row>
    <row r="498" spans="1:123" ht="13" x14ac:dyDescent="0.3">
      <c r="A498" s="1" t="s">
        <v>149</v>
      </c>
      <c r="B498" s="103">
        <f>IF(AND('AES Indiana Bill Calc.'!$D$17="SL",'AES Indiana Bill Calc.'!$D$18="Yes 50%",'AES Indiana Bill Calc.'!$D$20="Yes 2019"),'AES Indiana Bill Calc.'!$D$19,-1)</f>
        <v>-1</v>
      </c>
      <c r="C498" s="103">
        <f>MAX(E498,$C$462)</f>
        <v>50</v>
      </c>
      <c r="D498" s="103" t="b">
        <f>IF(AND('AES Indiana Bill Calc.'!$D$17="SL",'AES Indiana Bill Calc.'!$D$18="Yes 50%",'AES Indiana Bill Calc.'!$D$20="Yes 2019"),'AES Indiana Bill Calc.'!$D$22)</f>
        <v>0</v>
      </c>
      <c r="E498" s="103" t="b">
        <f>IF(AND('AES Indiana Bill Calc.'!$D$17="SL",'AES Indiana Bill Calc.'!$D$18="Yes 50%",'AES Indiana Bill Calc.'!$D$20="Yes 2019"),'AES Indiana Bill Calc.'!$D$21)</f>
        <v>0</v>
      </c>
      <c r="F498" s="36" t="s">
        <v>204</v>
      </c>
      <c r="G498" s="17" t="e">
        <f>SUM(J498:M498,O498:P498,R498:AA498)</f>
        <v>#N/A</v>
      </c>
      <c r="H498" s="19" t="e">
        <f>IF(ISBLANK(B498),0,+#REF!/B498)</f>
        <v>#REF!</v>
      </c>
      <c r="J498" s="82">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0.01</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-7.6160000000000012E-3</v>
      </c>
      <c r="AC498" s="94" t="str">
        <f>+F498</f>
        <v>SL9</v>
      </c>
    </row>
    <row r="499" spans="1:123" ht="13" x14ac:dyDescent="0.3">
      <c r="A499" s="9"/>
      <c r="B499" s="97">
        <v>-1</v>
      </c>
      <c r="D499" s="87"/>
      <c r="E499" s="97"/>
      <c r="F499" s="36"/>
      <c r="G499" s="98"/>
      <c r="H499" s="19"/>
      <c r="J499" s="104"/>
      <c r="K499" s="98"/>
      <c r="O499" s="98"/>
      <c r="P499" s="98"/>
      <c r="Q499" s="98"/>
      <c r="R499" s="38" t="e">
        <f>INDEX('Pwr Factor'!$A$1:$B$52,MATCH((D500),'Pwr Factor'!$A$1:$A$52,0),2)</f>
        <v>#N/A</v>
      </c>
      <c r="S499" s="50">
        <v>0.25</v>
      </c>
      <c r="T499" s="98"/>
      <c r="U499" s="98"/>
      <c r="V499" s="87"/>
      <c r="W499" s="98"/>
      <c r="X499" s="98"/>
      <c r="Y499" s="98"/>
      <c r="Z499" s="98"/>
      <c r="AA499" s="98"/>
      <c r="AB499" s="19"/>
      <c r="AC499" s="105"/>
    </row>
    <row r="500" spans="1:123" ht="13" x14ac:dyDescent="0.3">
      <c r="A500" s="1" t="s">
        <v>150</v>
      </c>
      <c r="B500" s="103">
        <f>IF(AND('AES Indiana Bill Calc.'!$D$17="SL",'AES Indiana Bill Calc.'!$D$18="Yes 25%",'AES Indiana Bill Calc.'!$D$20="Yes 2019"),'AES Indiana Bill Calc.'!$D$19,-1)</f>
        <v>-1</v>
      </c>
      <c r="C500" s="103">
        <f>MAX(E500,$C$462)</f>
        <v>50</v>
      </c>
      <c r="D500" s="103" t="b">
        <f>IF(AND('AES Indiana Bill Calc.'!$D$17="SL",'AES Indiana Bill Calc.'!$D$18="Yes 25%",'AES Indiana Bill Calc.'!$D$20="Yes 2019"),'AES Indiana Bill Calc.'!$D$22)</f>
        <v>0</v>
      </c>
      <c r="E500" s="103" t="b">
        <f>IF(AND('AES Indiana Bill Calc.'!$D$17="SL",'AES Indiana Bill Calc.'!$D$18="Yes 25%",'AES Indiana Bill Calc.'!$D$20="Yes 2019"),'AES Indiana Bill Calc.'!$D$21)</f>
        <v>0</v>
      </c>
      <c r="F500" s="36" t="s">
        <v>204</v>
      </c>
      <c r="G500" s="17" t="e">
        <f>SUM(J500:M500,O500:P500,R500:AA500)</f>
        <v>#N/A</v>
      </c>
      <c r="H500" s="19" t="e">
        <f>IF(ISBLANK(B500),0,+#REF!/B500)</f>
        <v>#REF!</v>
      </c>
      <c r="J500" s="82">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0.01</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-7.6160000000000012E-3</v>
      </c>
      <c r="AC500" s="94" t="str">
        <f>+F500</f>
        <v>SL9</v>
      </c>
    </row>
    <row r="501" spans="1:123" ht="13" x14ac:dyDescent="0.3">
      <c r="A501" s="9"/>
      <c r="B501" s="97">
        <v>-1</v>
      </c>
      <c r="D501" s="87"/>
      <c r="E501" s="97"/>
      <c r="F501" s="36"/>
      <c r="G501" s="98"/>
      <c r="H501" s="19"/>
      <c r="J501" s="104"/>
      <c r="K501" s="98"/>
      <c r="O501" s="98"/>
      <c r="P501" s="98"/>
      <c r="Q501" s="98"/>
      <c r="R501" s="38" t="e">
        <f>INDEX('Pwr Factor'!$A$1:$B$52,MATCH((D502),'Pwr Factor'!$A$1:$A$52,0),2)</f>
        <v>#N/A</v>
      </c>
      <c r="S501" s="50">
        <v>0.1</v>
      </c>
      <c r="T501" s="98"/>
      <c r="U501" s="98"/>
      <c r="V501" s="87"/>
      <c r="W501" s="98"/>
      <c r="X501" s="98"/>
      <c r="Y501" s="98"/>
      <c r="Z501" s="98"/>
      <c r="AA501" s="98"/>
      <c r="AB501" s="19"/>
      <c r="AC501" s="105"/>
    </row>
    <row r="502" spans="1:123" ht="13" x14ac:dyDescent="0.3">
      <c r="A502" s="1" t="s">
        <v>164</v>
      </c>
      <c r="B502" s="103">
        <f>IF(AND('AES Indiana Bill Calc.'!$D$17="SL",'AES Indiana Bill Calc.'!$D$18="Yes 10%",'AES Indiana Bill Calc.'!$D$20="Yes 2019"),'AES Indiana Bill Calc.'!$D$19,-1)</f>
        <v>-1</v>
      </c>
      <c r="C502" s="103">
        <f>MAX(E502,$C$462)</f>
        <v>50</v>
      </c>
      <c r="D502" s="103" t="b">
        <f>IF(AND('AES Indiana Bill Calc.'!$D$17="SL",'AES Indiana Bill Calc.'!$D$18="Yes 10%",'AES Indiana Bill Calc.'!$D$20="Yes 2019"),'AES Indiana Bill Calc.'!$D$22)</f>
        <v>0</v>
      </c>
      <c r="E502" s="103" t="b">
        <f>IF(AND('AES Indiana Bill Calc.'!$D$17="SL",'AES Indiana Bill Calc.'!$D$18="Yes 10%",'AES Indiana Bill Calc.'!$D$20="Yes 2019"),'AES Indiana Bill Calc.'!$D$21)</f>
        <v>0</v>
      </c>
      <c r="F502" s="36" t="s">
        <v>204</v>
      </c>
      <c r="G502" s="17" t="e">
        <f>SUM(J502:M502,O502:P502,R502:AA502)</f>
        <v>#N/A</v>
      </c>
      <c r="H502" s="19" t="e">
        <f>IF(ISBLANK(B502),0,+#REF!/B502)</f>
        <v>#REF!</v>
      </c>
      <c r="J502" s="82">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0.01</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-7.6160000000000012E-3</v>
      </c>
      <c r="AC502" s="94" t="str">
        <f>+F502</f>
        <v>SL9</v>
      </c>
    </row>
    <row r="503" spans="1:123" ht="13" x14ac:dyDescent="0.3">
      <c r="A503" s="9"/>
      <c r="B503" s="97">
        <v>-1</v>
      </c>
      <c r="D503" s="87"/>
      <c r="E503" s="97"/>
      <c r="F503" s="36"/>
      <c r="G503" s="98"/>
      <c r="H503" s="19"/>
      <c r="J503" s="104"/>
      <c r="K503" s="98"/>
      <c r="O503" s="98"/>
      <c r="P503" s="98"/>
      <c r="Q503" s="98"/>
      <c r="R503" s="38" t="e">
        <f>INDEX('Pwr Factor'!$A$1:$B$52,MATCH((D504),'Pwr Factor'!$A$1:$A$52,0),2)</f>
        <v>#N/A</v>
      </c>
      <c r="S503" s="50">
        <v>0</v>
      </c>
      <c r="T503" s="98"/>
      <c r="U503" s="98"/>
      <c r="V503" s="87"/>
      <c r="W503" s="98"/>
      <c r="X503" s="98"/>
      <c r="Y503" s="98"/>
      <c r="Z503" s="98"/>
      <c r="AA503" s="98"/>
      <c r="AB503" s="19"/>
      <c r="AC503" s="105"/>
    </row>
    <row r="504" spans="1:123" ht="13" x14ac:dyDescent="0.3">
      <c r="A504" s="1" t="s">
        <v>147</v>
      </c>
      <c r="B504" s="103">
        <f>IF(AND('AES Indiana Bill Calc.'!$D$17="SL",'AES Indiana Bill Calc.'!$D$18="No",'AES Indiana Bill Calc.'!$D$20="Yes 2019"),'AES Indiana Bill Calc.'!$D$19,-1)</f>
        <v>-1</v>
      </c>
      <c r="C504" s="103">
        <f>MAX(E504,$C$462)</f>
        <v>50</v>
      </c>
      <c r="D504" s="103" t="b">
        <f>IF(AND('AES Indiana Bill Calc.'!$D$17="SL",'AES Indiana Bill Calc.'!$D$18="No",'AES Indiana Bill Calc.'!$D$20="Yes 2019"),'AES Indiana Bill Calc.'!$D$22)</f>
        <v>0</v>
      </c>
      <c r="E504" s="103" t="b">
        <f>IF(AND('AES Indiana Bill Calc.'!$D$17="SL",'AES Indiana Bill Calc.'!$D$18="No",'AES Indiana Bill Calc.'!$D$20="Yes 2019"),'AES Indiana Bill Calc.'!$D$21)</f>
        <v>0</v>
      </c>
      <c r="F504" s="36" t="s">
        <v>204</v>
      </c>
      <c r="G504" s="17" t="e">
        <f>SUM(J504:M504,O504:P504,R504:AA504)</f>
        <v>#N/A</v>
      </c>
      <c r="H504" s="19" t="e">
        <f>IF(ISBLANK(B504),0,+#REF!/B504)</f>
        <v>#REF!</v>
      </c>
      <c r="J504" s="82">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0.01</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-7.6160000000000012E-3</v>
      </c>
      <c r="AC504" s="94" t="str">
        <f>+F504</f>
        <v>SL9</v>
      </c>
    </row>
    <row r="505" spans="1:123" ht="13" x14ac:dyDescent="0.3">
      <c r="A505" s="53"/>
      <c r="B505" s="97">
        <v>-1</v>
      </c>
      <c r="D505" s="87"/>
      <c r="E505" s="97"/>
      <c r="F505" s="36"/>
      <c r="G505" s="98"/>
      <c r="H505" s="19"/>
      <c r="J505" s="82"/>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35">
      <c r="A506" s="1" t="s">
        <v>148</v>
      </c>
      <c r="B506" s="103">
        <f>IF(AND('AES Indiana Bill Calc.'!$D$17="SL",'AES Indiana Bill Calc.'!$D$18="Yes 100%",'AES Indiana Bill Calc.'!$D$20="Yes 2020"),'AES Indiana Bill Calc.'!$D$19,-1)</f>
        <v>-1</v>
      </c>
      <c r="C506" s="103">
        <f>MAX(E506,$C$462)</f>
        <v>50</v>
      </c>
      <c r="D506" s="103" t="b">
        <f>IF(AND('AES Indiana Bill Calc.'!$D$17="SL",'AES Indiana Bill Calc.'!$D$18="Yes 100%",'AES Indiana Bill Calc.'!$D$20="Yes 2020"),'AES Indiana Bill Calc.'!$D$22)</f>
        <v>0</v>
      </c>
      <c r="E506" s="103" t="b">
        <f>IF(AND('AES Indiana Bill Calc.'!$D$17="SL",'AES Indiana Bill Calc.'!$D$18="Yes 100%",'AES Indiana Bill Calc.'!$D$20="Yes 2020"),'AES Indiana Bill Calc.'!$D$21)</f>
        <v>0</v>
      </c>
      <c r="F506" s="36" t="s">
        <v>205</v>
      </c>
      <c r="G506" s="17" t="e">
        <f>SUM(J506:M506,O506:P506,R506:AA506)</f>
        <v>#N/A</v>
      </c>
      <c r="H506" s="19" t="e">
        <f>IF(ISBLANK(B506),0,+#REF!/B506)</f>
        <v>#REF!</v>
      </c>
      <c r="I506"/>
      <c r="J506" s="82">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0.01</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-7.6160000000000012E-3</v>
      </c>
      <c r="AC506" s="94"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ht="13" x14ac:dyDescent="0.3">
      <c r="A507" s="9"/>
      <c r="B507" s="97">
        <v>-1</v>
      </c>
      <c r="D507" s="87"/>
      <c r="E507" s="97"/>
      <c r="F507" s="36"/>
      <c r="G507" s="98"/>
      <c r="H507" s="19"/>
      <c r="J507" s="82"/>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ht="13" x14ac:dyDescent="0.3">
      <c r="A508" s="1" t="s">
        <v>149</v>
      </c>
      <c r="B508" s="103">
        <f>IF(AND('AES Indiana Bill Calc.'!$D$17="SL",'AES Indiana Bill Calc.'!$D$18="Yes 50%",'AES Indiana Bill Calc.'!$D$20="Yes 2020"),'AES Indiana Bill Calc.'!$D$19,-1)</f>
        <v>-1</v>
      </c>
      <c r="C508" s="103">
        <f>MAX(E508,$C$462)</f>
        <v>50</v>
      </c>
      <c r="D508" s="103" t="b">
        <f>IF(AND('AES Indiana Bill Calc.'!$D$17="SL",'AES Indiana Bill Calc.'!$D$18="Yes 50%",'AES Indiana Bill Calc.'!$D$20="Yes 2020"),'AES Indiana Bill Calc.'!$D$22)</f>
        <v>0</v>
      </c>
      <c r="E508" s="103" t="b">
        <f>IF(AND('AES Indiana Bill Calc.'!$D$17="SL",'AES Indiana Bill Calc.'!$D$18="Yes 50%",'AES Indiana Bill Calc.'!$D$20="Yes 2020"),'AES Indiana Bill Calc.'!$D$21)</f>
        <v>0</v>
      </c>
      <c r="F508" s="36" t="s">
        <v>205</v>
      </c>
      <c r="G508" s="17" t="e">
        <f>SUM(J508:M508,O508:P508,R508:AA508)</f>
        <v>#N/A</v>
      </c>
      <c r="H508" s="19" t="e">
        <f>IF(ISBLANK(B508),0,+#REF!/B508)</f>
        <v>#REF!</v>
      </c>
      <c r="J508" s="82">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0.01</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-7.6160000000000012E-3</v>
      </c>
      <c r="AC508" s="94" t="str">
        <f>+F508</f>
        <v>SL0</v>
      </c>
    </row>
    <row r="509" spans="1:123" ht="13" x14ac:dyDescent="0.3">
      <c r="A509" s="9"/>
      <c r="B509" s="97">
        <v>-1</v>
      </c>
      <c r="D509" s="87"/>
      <c r="E509" s="97"/>
      <c r="F509" s="36"/>
      <c r="G509" s="98"/>
      <c r="H509" s="19"/>
      <c r="J509" s="82"/>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ht="13" x14ac:dyDescent="0.3">
      <c r="A510" s="1" t="s">
        <v>150</v>
      </c>
      <c r="B510" s="103">
        <f>IF(AND('AES Indiana Bill Calc.'!$D$17="SL",'AES Indiana Bill Calc.'!$D$18="Yes 25%",'AES Indiana Bill Calc.'!$D$20="Yes 2020"),'AES Indiana Bill Calc.'!$D$19,-1)</f>
        <v>-1</v>
      </c>
      <c r="C510" s="103">
        <f>MAX(E510,$C$462)</f>
        <v>50</v>
      </c>
      <c r="D510" s="103" t="b">
        <f>IF(AND('AES Indiana Bill Calc.'!$D$17="SL",'AES Indiana Bill Calc.'!$D$18="Yes 25%",'AES Indiana Bill Calc.'!$D$20="Yes 2020"),'AES Indiana Bill Calc.'!$D$22)</f>
        <v>0</v>
      </c>
      <c r="E510" s="103" t="b">
        <f>IF(AND('AES Indiana Bill Calc.'!$D$17="SL",'AES Indiana Bill Calc.'!$D$18="Yes 25%",'AES Indiana Bill Calc.'!$D$20="Yes 2020"),'AES Indiana Bill Calc.'!$D$21)</f>
        <v>0</v>
      </c>
      <c r="F510" s="36" t="s">
        <v>205</v>
      </c>
      <c r="G510" s="17" t="e">
        <f>SUM(J510:M510,O510:P510,R510:AA510)</f>
        <v>#N/A</v>
      </c>
      <c r="H510" s="19" t="e">
        <f>IF(ISBLANK(B510),0,+#REF!/B510)</f>
        <v>#REF!</v>
      </c>
      <c r="J510" s="82">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0.01</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-7.6160000000000012E-3</v>
      </c>
      <c r="AC510" s="94" t="str">
        <f>+F510</f>
        <v>SL0</v>
      </c>
    </row>
    <row r="511" spans="1:123" ht="13" x14ac:dyDescent="0.3">
      <c r="A511" s="9"/>
      <c r="B511" s="97">
        <v>-1</v>
      </c>
      <c r="D511" s="87"/>
      <c r="E511" s="97"/>
      <c r="F511" s="36"/>
      <c r="G511" s="98"/>
      <c r="H511" s="19"/>
      <c r="J511" s="82"/>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ht="13" x14ac:dyDescent="0.3">
      <c r="A512" s="1" t="s">
        <v>164</v>
      </c>
      <c r="B512" s="103">
        <f>IF(AND('AES Indiana Bill Calc.'!$D$17="SL",'AES Indiana Bill Calc.'!$D$18="Yes 10%",'AES Indiana Bill Calc.'!$D$20="Yes 2020"),'AES Indiana Bill Calc.'!$D$19,-1)</f>
        <v>-1</v>
      </c>
      <c r="C512" s="103">
        <f>MAX(E512,$C$462)</f>
        <v>50</v>
      </c>
      <c r="D512" s="103" t="b">
        <f>IF(AND('AES Indiana Bill Calc.'!$D$17="SL",'AES Indiana Bill Calc.'!$D$18="Yes 10%",'AES Indiana Bill Calc.'!$D$20="Yes 2020"),'AES Indiana Bill Calc.'!$D$22)</f>
        <v>0</v>
      </c>
      <c r="E512" s="103" t="b">
        <f>IF(AND('AES Indiana Bill Calc.'!$D$17="SL",'AES Indiana Bill Calc.'!$D$18="Yes 10%",'AES Indiana Bill Calc.'!$D$20="Yes 2020"),'AES Indiana Bill Calc.'!$D$21)</f>
        <v>0</v>
      </c>
      <c r="F512" s="36" t="s">
        <v>205</v>
      </c>
      <c r="G512" s="17" t="e">
        <f>SUM(J512:M512,O512:P512,R512:AA512)</f>
        <v>#N/A</v>
      </c>
      <c r="H512" s="19" t="e">
        <f>IF(ISBLANK(B512),0,+#REF!/B512)</f>
        <v>#REF!</v>
      </c>
      <c r="J512" s="82">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0.01</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-7.6160000000000012E-3</v>
      </c>
      <c r="AC512" s="94" t="str">
        <f>+F512</f>
        <v>SL0</v>
      </c>
    </row>
    <row r="513" spans="1:29" ht="13" x14ac:dyDescent="0.3">
      <c r="A513" s="9"/>
      <c r="B513" s="97">
        <v>-1</v>
      </c>
      <c r="D513" s="87"/>
      <c r="E513" s="97"/>
      <c r="F513" s="36"/>
      <c r="G513" s="98"/>
      <c r="H513" s="19"/>
      <c r="J513" s="82"/>
      <c r="K513" s="42"/>
      <c r="O513" s="42"/>
      <c r="P513" s="42"/>
      <c r="Q513" s="42"/>
      <c r="R513" s="38" t="e">
        <f>INDEX('Pwr Factor'!$A$1:$B$52,MATCH((D514),'Pwr Factor'!$A$1:$A$52,0),2)</f>
        <v>#N/A</v>
      </c>
      <c r="S513" s="50">
        <v>0</v>
      </c>
      <c r="T513" s="42"/>
      <c r="U513" s="42"/>
      <c r="V513" s="41"/>
      <c r="W513" s="42"/>
      <c r="X513" s="42"/>
      <c r="Y513" s="42"/>
      <c r="Z513" s="42"/>
      <c r="AA513" s="42"/>
      <c r="AB513" s="19"/>
      <c r="AC513" s="94"/>
    </row>
    <row r="514" spans="1:29" ht="13" x14ac:dyDescent="0.3">
      <c r="A514" s="1" t="s">
        <v>147</v>
      </c>
      <c r="B514" s="103">
        <f>IF(AND('AES Indiana Bill Calc.'!$D$17="SL",'AES Indiana Bill Calc.'!$D$18="No",'AES Indiana Bill Calc.'!$D$20="Yes 2020"),'AES Indiana Bill Calc.'!$D$19,-1)</f>
        <v>-1</v>
      </c>
      <c r="C514" s="103">
        <f>MAX(E514,$C$462)</f>
        <v>50</v>
      </c>
      <c r="D514" s="103" t="b">
        <f>IF(AND('AES Indiana Bill Calc.'!$D$17="SL",'AES Indiana Bill Calc.'!$D$18="No",'AES Indiana Bill Calc.'!$D$20="Yes 2020"),'AES Indiana Bill Calc.'!$D$22)</f>
        <v>0</v>
      </c>
      <c r="E514" s="103" t="b">
        <f>IF(AND('AES Indiana Bill Calc.'!$D$17="SL",'AES Indiana Bill Calc.'!$D$18="No",'AES Indiana Bill Calc.'!$D$20="Yes 2020"),'AES Indiana Bill Calc.'!$D$21)</f>
        <v>0</v>
      </c>
      <c r="F514" s="36" t="s">
        <v>205</v>
      </c>
      <c r="G514" s="17" t="e">
        <f>SUM(J514:M514,O514:P514,R514:AA514)</f>
        <v>#N/A</v>
      </c>
      <c r="H514" s="19" t="e">
        <f>IF(ISBLANK(B514),0,+#REF!/B514)</f>
        <v>#REF!</v>
      </c>
      <c r="J514" s="82">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0.01</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-7.6160000000000012E-3</v>
      </c>
      <c r="AC514" s="94" t="str">
        <f>+F514</f>
        <v>SL0</v>
      </c>
    </row>
    <row r="515" spans="1:29" ht="13" x14ac:dyDescent="0.3">
      <c r="A515" s="53"/>
      <c r="B515" s="97">
        <v>-1</v>
      </c>
      <c r="D515" s="41"/>
      <c r="E515" s="80"/>
      <c r="F515" s="36"/>
      <c r="G515" s="98"/>
      <c r="H515" s="19"/>
      <c r="J515" s="82"/>
      <c r="K515" s="42"/>
      <c r="O515" s="42"/>
      <c r="P515" s="42"/>
      <c r="Q515" s="42"/>
      <c r="R515" s="38" t="e">
        <f>INDEX('Pwr Factor'!$A$1:$B$52,MATCH((D516),'Pwr Factor'!$A$1:$A$52,0),2)</f>
        <v>#N/A</v>
      </c>
      <c r="S515" s="50">
        <v>1</v>
      </c>
      <c r="T515" s="42"/>
      <c r="U515" s="42"/>
      <c r="V515" s="41"/>
      <c r="W515" s="42"/>
      <c r="X515" s="42"/>
      <c r="Y515" s="42"/>
      <c r="Z515" s="42"/>
      <c r="AA515" s="42"/>
      <c r="AB515" s="19"/>
      <c r="AC515" s="94"/>
    </row>
    <row r="516" spans="1:29" ht="13" x14ac:dyDescent="0.3">
      <c r="A516" s="1" t="s">
        <v>148</v>
      </c>
      <c r="B516" s="103">
        <f>IF(AND('AES Indiana Bill Calc.'!$D$17="SL",'AES Indiana Bill Calc.'!$D$18="Yes 100%",'AES Indiana Bill Calc.'!$D$20="Yes 2021"),'AES Indiana Bill Calc.'!$D$19,-1)</f>
        <v>-1</v>
      </c>
      <c r="C516" s="103">
        <f>MAX(E516,$C$462)</f>
        <v>50</v>
      </c>
      <c r="D516" s="103" t="b">
        <f>IF(AND('AES Indiana Bill Calc.'!$D$17="SL",'AES Indiana Bill Calc.'!$D$18="Yes 100%",'AES Indiana Bill Calc.'!$D$20="Yes 2021"),'AES Indiana Bill Calc.'!$D$22)</f>
        <v>0</v>
      </c>
      <c r="E516" s="103" t="b">
        <f>IF(AND('AES Indiana Bill Calc.'!$D$17="SL",'AES Indiana Bill Calc.'!$D$18="Yes 100%",'AES Indiana Bill Calc.'!$D$20="Yes 2021"),'AES Indiana Bill Calc.'!$D$21)</f>
        <v>0</v>
      </c>
      <c r="F516" s="36" t="s">
        <v>206</v>
      </c>
      <c r="G516" s="17" t="e">
        <f>SUM(J516:M516,O516:P516,R516:AA516)</f>
        <v>#N/A</v>
      </c>
      <c r="H516" s="19" t="e">
        <f>IF(ISBLANK(B516),0,+#REF!/B516)</f>
        <v>#REF!</v>
      </c>
      <c r="J516" s="82">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0.01</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4" t="str">
        <f>+F516</f>
        <v>SL1</v>
      </c>
    </row>
    <row r="517" spans="1:29" ht="13" x14ac:dyDescent="0.3">
      <c r="A517" s="9"/>
      <c r="B517" s="97">
        <v>-1</v>
      </c>
      <c r="D517" s="87"/>
      <c r="E517" s="97"/>
      <c r="F517" s="36"/>
      <c r="G517" s="98"/>
      <c r="H517" s="19"/>
      <c r="J517" s="82"/>
      <c r="K517" s="42"/>
      <c r="O517" s="42"/>
      <c r="P517" s="42"/>
      <c r="Q517" s="42"/>
      <c r="R517" s="38" t="e">
        <f>INDEX('Pwr Factor'!$A$1:$B$52,MATCH((D518),'Pwr Factor'!$A$1:$A$52,0),2)</f>
        <v>#N/A</v>
      </c>
      <c r="S517" s="50">
        <v>0.5</v>
      </c>
      <c r="T517" s="42"/>
      <c r="U517" s="42"/>
      <c r="V517" s="41"/>
      <c r="W517" s="42"/>
      <c r="X517" s="42"/>
      <c r="Y517" s="42"/>
      <c r="Z517" s="42"/>
      <c r="AA517" s="42"/>
      <c r="AB517" s="19"/>
      <c r="AC517" s="94"/>
    </row>
    <row r="518" spans="1:29" ht="13" x14ac:dyDescent="0.3">
      <c r="A518" s="1" t="s">
        <v>149</v>
      </c>
      <c r="B518" s="103">
        <f>IF(AND('AES Indiana Bill Calc.'!$D$17="SL",'AES Indiana Bill Calc.'!$D$18="Yes 50%",'AES Indiana Bill Calc.'!$D$20="Yes 2021"),'AES Indiana Bill Calc.'!$D$19,-1)</f>
        <v>-1</v>
      </c>
      <c r="C518" s="103">
        <f>MAX(E518,$C$462)</f>
        <v>50</v>
      </c>
      <c r="D518" s="103" t="b">
        <f>IF(AND('AES Indiana Bill Calc.'!$D$17="SL",'AES Indiana Bill Calc.'!$D$18="Yes 50%",'AES Indiana Bill Calc.'!$D$20="Yes 2021"),'AES Indiana Bill Calc.'!$D$22)</f>
        <v>0</v>
      </c>
      <c r="E518" s="103" t="b">
        <f>IF(AND('AES Indiana Bill Calc.'!$D$17="SL",'AES Indiana Bill Calc.'!$D$18="Yes 50%",'AES Indiana Bill Calc.'!$D$20="Yes 2021"),'AES Indiana Bill Calc.'!$D$21)</f>
        <v>0</v>
      </c>
      <c r="F518" s="36" t="s">
        <v>206</v>
      </c>
      <c r="G518" s="17" t="e">
        <f>SUM(J518:M518,O518:P518,R518:AA518)</f>
        <v>#N/A</v>
      </c>
      <c r="H518" s="19" t="e">
        <f>IF(ISBLANK(B518),0,+#REF!/B518)</f>
        <v>#REF!</v>
      </c>
      <c r="J518" s="82">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0.01</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4" t="str">
        <f>+F518</f>
        <v>SL1</v>
      </c>
    </row>
    <row r="519" spans="1:29" ht="13" x14ac:dyDescent="0.3">
      <c r="A519" s="9"/>
      <c r="B519" s="97">
        <v>-1</v>
      </c>
      <c r="D519" s="87"/>
      <c r="E519" s="97"/>
      <c r="F519" s="36"/>
      <c r="G519" s="98"/>
      <c r="H519" s="19"/>
      <c r="J519" s="82"/>
      <c r="K519" s="42"/>
      <c r="O519" s="42"/>
      <c r="P519" s="42"/>
      <c r="Q519" s="42"/>
      <c r="R519" s="38" t="e">
        <f>INDEX('Pwr Factor'!$A$1:$B$52,MATCH((D520),'Pwr Factor'!$A$1:$A$52,0),2)</f>
        <v>#N/A</v>
      </c>
      <c r="S519" s="50">
        <v>0.25</v>
      </c>
      <c r="T519" s="42"/>
      <c r="U519" s="42"/>
      <c r="V519" s="41"/>
      <c r="W519" s="42"/>
      <c r="X519" s="42"/>
      <c r="Y519" s="42"/>
      <c r="Z519" s="42"/>
      <c r="AA519" s="42"/>
      <c r="AB519" s="19"/>
      <c r="AC519" s="94"/>
    </row>
    <row r="520" spans="1:29" ht="13" x14ac:dyDescent="0.3">
      <c r="A520" s="1" t="s">
        <v>150</v>
      </c>
      <c r="B520" s="103">
        <f>IF(AND('AES Indiana Bill Calc.'!$D$17="SL",'AES Indiana Bill Calc.'!$D$18="Yes 25%",'AES Indiana Bill Calc.'!$D$20="Yes 2021"),'AES Indiana Bill Calc.'!$D$19,-1)</f>
        <v>-1</v>
      </c>
      <c r="C520" s="103">
        <f>MAX(E520,$C$462)</f>
        <v>50</v>
      </c>
      <c r="D520" s="103" t="b">
        <f>IF(AND('AES Indiana Bill Calc.'!$D$17="SL",'AES Indiana Bill Calc.'!$D$18="Yes 25%",'AES Indiana Bill Calc.'!$D$20="Yes 2021"),'AES Indiana Bill Calc.'!$D$22)</f>
        <v>0</v>
      </c>
      <c r="E520" s="103" t="b">
        <f>IF(AND('AES Indiana Bill Calc.'!$D$17="SL",'AES Indiana Bill Calc.'!$D$18="Yes 25%",'AES Indiana Bill Calc.'!$D$20="Yes 2021"),'AES Indiana Bill Calc.'!$D$21)</f>
        <v>0</v>
      </c>
      <c r="F520" s="36" t="s">
        <v>206</v>
      </c>
      <c r="G520" s="17" t="e">
        <f>SUM(J520:M520,O520:P520,R520:AA520)</f>
        <v>#N/A</v>
      </c>
      <c r="H520" s="19" t="e">
        <f>IF(ISBLANK(B520),0,+#REF!/B520)</f>
        <v>#REF!</v>
      </c>
      <c r="J520" s="82">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0.01</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4" t="str">
        <f>+F520</f>
        <v>SL1</v>
      </c>
    </row>
    <row r="521" spans="1:29" ht="13" x14ac:dyDescent="0.3">
      <c r="A521" s="9"/>
      <c r="B521" s="97">
        <v>-1</v>
      </c>
      <c r="D521" s="87"/>
      <c r="E521" s="97"/>
      <c r="F521" s="36"/>
      <c r="G521" s="98"/>
      <c r="H521" s="19"/>
      <c r="J521" s="82"/>
      <c r="K521" s="42"/>
      <c r="O521" s="42"/>
      <c r="P521" s="42"/>
      <c r="Q521" s="42"/>
      <c r="R521" s="38" t="e">
        <f>INDEX('Pwr Factor'!$A$1:$B$52,MATCH((D522),'Pwr Factor'!$A$1:$A$52,0),2)</f>
        <v>#N/A</v>
      </c>
      <c r="S521" s="50">
        <v>0.1</v>
      </c>
      <c r="T521" s="42"/>
      <c r="U521" s="42"/>
      <c r="V521" s="41"/>
      <c r="W521" s="42"/>
      <c r="X521" s="42"/>
      <c r="Y521" s="42"/>
      <c r="Z521" s="42"/>
      <c r="AA521" s="42"/>
      <c r="AB521" s="19"/>
      <c r="AC521" s="94"/>
    </row>
    <row r="522" spans="1:29" ht="13" x14ac:dyDescent="0.3">
      <c r="A522" s="1" t="s">
        <v>164</v>
      </c>
      <c r="B522" s="103">
        <f>IF(AND('AES Indiana Bill Calc.'!$D$17="SL",'AES Indiana Bill Calc.'!$D$18="Yes 10%",'AES Indiana Bill Calc.'!$D$20="Yes 2021"),'AES Indiana Bill Calc.'!$D$19,-1)</f>
        <v>-1</v>
      </c>
      <c r="C522" s="103">
        <f>MAX(E522,$C$462)</f>
        <v>50</v>
      </c>
      <c r="D522" s="103" t="b">
        <f>IF(AND('AES Indiana Bill Calc.'!$D$17="SL",'AES Indiana Bill Calc.'!$D$18="Yes 10%",'AES Indiana Bill Calc.'!$D$20="Yes 2021"),'AES Indiana Bill Calc.'!$D$22)</f>
        <v>0</v>
      </c>
      <c r="E522" s="103" t="b">
        <f>IF(AND('AES Indiana Bill Calc.'!$D$17="SL",'AES Indiana Bill Calc.'!$D$18="Yes 10%",'AES Indiana Bill Calc.'!$D$20="Yes 2021"),'AES Indiana Bill Calc.'!$D$21)</f>
        <v>0</v>
      </c>
      <c r="F522" s="36" t="s">
        <v>206</v>
      </c>
      <c r="G522" s="17" t="e">
        <f>SUM(J522:M522,O522:P522,R522:AA522)</f>
        <v>#N/A</v>
      </c>
      <c r="H522" s="19" t="e">
        <f>IF(ISBLANK(B522),0,+#REF!/B522)</f>
        <v>#REF!</v>
      </c>
      <c r="J522" s="82">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0.01</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4" t="str">
        <f>+F522</f>
        <v>SL1</v>
      </c>
    </row>
    <row r="523" spans="1:29" ht="13" x14ac:dyDescent="0.3">
      <c r="A523" s="9"/>
      <c r="B523" s="97">
        <v>-1</v>
      </c>
      <c r="D523" s="87"/>
      <c r="E523" s="97"/>
      <c r="F523" s="36"/>
      <c r="G523" s="98"/>
      <c r="H523" s="19"/>
      <c r="J523" s="82"/>
      <c r="K523" s="42"/>
      <c r="O523" s="42"/>
      <c r="P523" s="42"/>
      <c r="Q523" s="42"/>
      <c r="R523" s="38" t="e">
        <f>INDEX('Pwr Factor'!$A$1:$B$52,MATCH((D524),'Pwr Factor'!$A$1:$A$52,0),2)</f>
        <v>#N/A</v>
      </c>
      <c r="S523" s="50">
        <v>0</v>
      </c>
      <c r="T523" s="42"/>
      <c r="U523" s="42"/>
      <c r="V523" s="41"/>
      <c r="W523" s="42"/>
      <c r="X523" s="42"/>
      <c r="Y523" s="42"/>
      <c r="Z523" s="42"/>
      <c r="AA523" s="42"/>
      <c r="AB523" s="19"/>
      <c r="AC523" s="94"/>
    </row>
    <row r="524" spans="1:29" ht="13" x14ac:dyDescent="0.3">
      <c r="A524" s="1" t="s">
        <v>147</v>
      </c>
      <c r="B524" s="103">
        <f>IF(AND('AES Indiana Bill Calc.'!$D$17="SL",'AES Indiana Bill Calc.'!$D$18="No",'AES Indiana Bill Calc.'!$D$20="Yes 2021"),'AES Indiana Bill Calc.'!$D$19,-1)</f>
        <v>-1</v>
      </c>
      <c r="C524" s="103">
        <f>MAX(E524,$C$462)</f>
        <v>50</v>
      </c>
      <c r="D524" s="103" t="b">
        <f>IF(AND('AES Indiana Bill Calc.'!$D$17="SL",'AES Indiana Bill Calc.'!$D$18="No",'AES Indiana Bill Calc.'!$D$20="Yes 2021"),'AES Indiana Bill Calc.'!$D$22)</f>
        <v>0</v>
      </c>
      <c r="E524" s="103" t="b">
        <f>IF(AND('AES Indiana Bill Calc.'!$D$17="SL",'AES Indiana Bill Calc.'!$D$18="No",'AES Indiana Bill Calc.'!$D$20="Yes 2021"),'AES Indiana Bill Calc.'!$D$21)</f>
        <v>0</v>
      </c>
      <c r="F524" s="36" t="s">
        <v>206</v>
      </c>
      <c r="G524" s="17" t="e">
        <f>SUM(J524:M524,O524:P524,R524:AA524)</f>
        <v>#N/A</v>
      </c>
      <c r="H524" s="19" t="e">
        <f>IF(ISBLANK(B524),0,+#REF!/B524)</f>
        <v>#REF!</v>
      </c>
      <c r="J524" s="82">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0.01</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4" t="str">
        <f>+F524</f>
        <v>SL1</v>
      </c>
    </row>
    <row r="525" spans="1:29" ht="13" x14ac:dyDescent="0.3">
      <c r="A525" s="53"/>
      <c r="B525" s="97">
        <v>-1</v>
      </c>
      <c r="D525" s="41"/>
      <c r="E525" s="80"/>
      <c r="F525" s="36"/>
      <c r="G525" s="98"/>
      <c r="H525" s="19"/>
      <c r="J525" s="82"/>
      <c r="K525" s="42"/>
      <c r="O525" s="42"/>
      <c r="P525" s="42"/>
      <c r="Q525" s="42"/>
      <c r="R525" s="38" t="e">
        <f>INDEX('Pwr Factor'!$A$1:$B$52,MATCH((D526),'Pwr Factor'!$A$1:$A$52,0),2)</f>
        <v>#N/A</v>
      </c>
      <c r="S525" s="50">
        <v>1</v>
      </c>
      <c r="T525" s="42"/>
      <c r="U525" s="42"/>
      <c r="V525" s="41"/>
      <c r="W525" s="42"/>
      <c r="X525" s="42"/>
      <c r="Y525" s="42"/>
      <c r="Z525" s="42"/>
      <c r="AA525" s="42"/>
      <c r="AB525" s="19"/>
      <c r="AC525" s="94"/>
    </row>
    <row r="526" spans="1:29" ht="13" x14ac:dyDescent="0.3">
      <c r="A526" s="1" t="s">
        <v>148</v>
      </c>
      <c r="B526" s="103">
        <f>IF(AND('AES Indiana Bill Calc.'!$D$17="SL",'AES Indiana Bill Calc.'!$D$18="Yes 100%",'AES Indiana Bill Calc.'!$D$20="Yes 2022"),'AES Indiana Bill Calc.'!$D$19,-1)</f>
        <v>-1</v>
      </c>
      <c r="C526" s="103">
        <f>MAX(E526,$C$462)</f>
        <v>50</v>
      </c>
      <c r="D526" s="103" t="b">
        <f>IF(AND('AES Indiana Bill Calc.'!$D$17="SL",'AES Indiana Bill Calc.'!$D$18="Yes 100%",'AES Indiana Bill Calc.'!$D$20="Yes 2022"),'AES Indiana Bill Calc.'!$D$22)</f>
        <v>0</v>
      </c>
      <c r="E526" s="103" t="b">
        <f>IF(AND('AES Indiana Bill Calc.'!$D$17="SL",'AES Indiana Bill Calc.'!$D$18="Yes 100%",'AES Indiana Bill Calc.'!$D$20="Yes 2022"),'AES Indiana Bill Calc.'!$D$21)</f>
        <v>0</v>
      </c>
      <c r="F526" s="36" t="s">
        <v>207</v>
      </c>
      <c r="G526" s="17" t="e">
        <f>SUM(J526:M526,O526:P526,R526:AA526)</f>
        <v>#N/A</v>
      </c>
      <c r="H526" s="19" t="e">
        <f>IF(ISBLANK(B526),0,+#REF!/B526)</f>
        <v>#REF!</v>
      </c>
      <c r="J526" s="82">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0.01</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4" t="str">
        <f>+F526</f>
        <v>SL2</v>
      </c>
    </row>
    <row r="527" spans="1:29" ht="13" x14ac:dyDescent="0.3">
      <c r="A527" s="9"/>
      <c r="B527" s="97">
        <v>-1</v>
      </c>
      <c r="D527" s="41"/>
      <c r="E527" s="80"/>
      <c r="F527" s="36"/>
      <c r="G527" s="98"/>
      <c r="H527" s="19"/>
      <c r="J527" s="82"/>
      <c r="K527" s="42"/>
      <c r="O527" s="42"/>
      <c r="P527" s="42"/>
      <c r="Q527" s="42"/>
      <c r="R527" s="38" t="e">
        <f>INDEX('Pwr Factor'!$A$1:$B$52,MATCH((D528),'Pwr Factor'!$A$1:$A$52,0),2)</f>
        <v>#N/A</v>
      </c>
      <c r="S527" s="50">
        <v>0.5</v>
      </c>
      <c r="T527" s="42"/>
      <c r="U527" s="42"/>
      <c r="V527" s="41"/>
      <c r="W527" s="42"/>
      <c r="X527" s="42"/>
      <c r="Y527" s="42"/>
      <c r="Z527" s="42"/>
      <c r="AA527" s="42"/>
      <c r="AB527" s="19"/>
      <c r="AC527" s="94"/>
    </row>
    <row r="528" spans="1:29" ht="13" x14ac:dyDescent="0.3">
      <c r="A528" s="1" t="s">
        <v>149</v>
      </c>
      <c r="B528" s="103">
        <f>IF(AND('AES Indiana Bill Calc.'!$D$17="SL",'AES Indiana Bill Calc.'!$D$18="Yes 50%",'AES Indiana Bill Calc.'!$D$20="Yes 2022"),'AES Indiana Bill Calc.'!$D$19,-1)</f>
        <v>-1</v>
      </c>
      <c r="C528" s="103">
        <f>MAX(E528,$C$462)</f>
        <v>50</v>
      </c>
      <c r="D528" s="103" t="b">
        <f>IF(AND('AES Indiana Bill Calc.'!$D$17="SL",'AES Indiana Bill Calc.'!$D$18="Yes 50%",'AES Indiana Bill Calc.'!$D$20="Yes 2022"),'AES Indiana Bill Calc.'!$D$22)</f>
        <v>0</v>
      </c>
      <c r="E528" s="103" t="b">
        <f>IF(AND('AES Indiana Bill Calc.'!$D$17="SL",'AES Indiana Bill Calc.'!$D$18="Yes 50%",'AES Indiana Bill Calc.'!$D$20="Yes 2022"),'AES Indiana Bill Calc.'!$D$21)</f>
        <v>0</v>
      </c>
      <c r="F528" s="36" t="s">
        <v>207</v>
      </c>
      <c r="G528" s="17" t="e">
        <f>SUM(J528:M528,O528:P528,R528:AA528)</f>
        <v>#N/A</v>
      </c>
      <c r="H528" s="19" t="e">
        <f>IF(ISBLANK(B528),0,+#REF!/B528)</f>
        <v>#REF!</v>
      </c>
      <c r="J528" s="82">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0.01</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4" t="str">
        <f>+F528</f>
        <v>SL2</v>
      </c>
    </row>
    <row r="529" spans="1:29" ht="13" x14ac:dyDescent="0.3">
      <c r="A529" s="9"/>
      <c r="B529" s="97">
        <v>-1</v>
      </c>
      <c r="D529" s="41"/>
      <c r="E529" s="80"/>
      <c r="F529" s="36"/>
      <c r="G529" s="98"/>
      <c r="H529" s="19"/>
      <c r="J529" s="82"/>
      <c r="K529" s="42"/>
      <c r="O529" s="42"/>
      <c r="P529" s="42"/>
      <c r="Q529" s="42"/>
      <c r="R529" s="38" t="e">
        <f>INDEX('Pwr Factor'!$A$1:$B$52,MATCH((D530),'Pwr Factor'!$A$1:$A$52,0),2)</f>
        <v>#N/A</v>
      </c>
      <c r="S529" s="50">
        <v>0.25</v>
      </c>
      <c r="T529" s="42"/>
      <c r="U529" s="42"/>
      <c r="V529" s="41"/>
      <c r="W529" s="42"/>
      <c r="X529" s="42"/>
      <c r="Y529" s="42"/>
      <c r="Z529" s="42"/>
      <c r="AA529" s="42"/>
      <c r="AB529" s="19"/>
      <c r="AC529" s="94"/>
    </row>
    <row r="530" spans="1:29" ht="13" x14ac:dyDescent="0.3">
      <c r="A530" s="1" t="s">
        <v>150</v>
      </c>
      <c r="B530" s="103">
        <f>IF(AND('AES Indiana Bill Calc.'!$D$17="SL",'AES Indiana Bill Calc.'!$D$18="Yes 25%",'AES Indiana Bill Calc.'!$D$20="Yes 2022"),'AES Indiana Bill Calc.'!$D$19,-1)</f>
        <v>-1</v>
      </c>
      <c r="C530" s="103">
        <f>MAX(E530,$C$462)</f>
        <v>50</v>
      </c>
      <c r="D530" s="103" t="b">
        <f>IF(AND('AES Indiana Bill Calc.'!$D$17="SL",'AES Indiana Bill Calc.'!$D$18="Yes 25%",'AES Indiana Bill Calc.'!$D$20="Yes 2022"),'AES Indiana Bill Calc.'!$D$22)</f>
        <v>0</v>
      </c>
      <c r="E530" s="103" t="b">
        <f>IF(AND('AES Indiana Bill Calc.'!$D$17="SL",'AES Indiana Bill Calc.'!$D$18="Yes 25%",'AES Indiana Bill Calc.'!$D$20="Yes 2022"),'AES Indiana Bill Calc.'!$D$21)</f>
        <v>0</v>
      </c>
      <c r="F530" s="36" t="s">
        <v>207</v>
      </c>
      <c r="G530" s="17" t="e">
        <f>SUM(J530:M530,O530:P530,R530:AA530)</f>
        <v>#N/A</v>
      </c>
      <c r="H530" s="19" t="e">
        <f>IF(ISBLANK(B530),0,+#REF!/B530)</f>
        <v>#REF!</v>
      </c>
      <c r="J530" s="82">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0.01</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4" t="str">
        <f>+F530</f>
        <v>SL2</v>
      </c>
    </row>
    <row r="531" spans="1:29" ht="13" x14ac:dyDescent="0.3">
      <c r="A531" s="9"/>
      <c r="B531" s="97">
        <v>-1</v>
      </c>
      <c r="D531" s="41"/>
      <c r="E531" s="80"/>
      <c r="F531" s="36"/>
      <c r="G531" s="98"/>
      <c r="H531" s="19"/>
      <c r="J531" s="82"/>
      <c r="K531" s="42"/>
      <c r="O531" s="42"/>
      <c r="P531" s="42"/>
      <c r="Q531" s="42"/>
      <c r="R531" s="38" t="e">
        <f>INDEX('Pwr Factor'!$A$1:$B$52,MATCH((D532),'Pwr Factor'!$A$1:$A$52,0),2)</f>
        <v>#N/A</v>
      </c>
      <c r="S531" s="50">
        <v>0.1</v>
      </c>
      <c r="T531" s="42"/>
      <c r="U531" s="42"/>
      <c r="V531" s="41"/>
      <c r="W531" s="42"/>
      <c r="X531" s="42"/>
      <c r="Y531" s="42"/>
      <c r="Z531" s="42"/>
      <c r="AA531" s="42"/>
      <c r="AB531" s="19"/>
      <c r="AC531" s="94"/>
    </row>
    <row r="532" spans="1:29" ht="13" x14ac:dyDescent="0.3">
      <c r="A532" s="1" t="s">
        <v>164</v>
      </c>
      <c r="B532" s="103">
        <f>IF(AND('AES Indiana Bill Calc.'!$D$17="SL",'AES Indiana Bill Calc.'!$D$18="Yes 10%",'AES Indiana Bill Calc.'!$D$20="Yes 2022"),'AES Indiana Bill Calc.'!$D$19,-1)</f>
        <v>-1</v>
      </c>
      <c r="C532" s="103">
        <f>MAX(E532,$C$462)</f>
        <v>50</v>
      </c>
      <c r="D532" s="103" t="b">
        <f>IF(AND('AES Indiana Bill Calc.'!$D$17="SL",'AES Indiana Bill Calc.'!$D$18="Yes 10%",'AES Indiana Bill Calc.'!$D$20="Yes 2022"),'AES Indiana Bill Calc.'!$D$22)</f>
        <v>0</v>
      </c>
      <c r="E532" s="103" t="b">
        <f>IF(AND('AES Indiana Bill Calc.'!$D$17="SL",'AES Indiana Bill Calc.'!$D$18="Yes 10%",'AES Indiana Bill Calc.'!$D$20="Yes 2022"),'AES Indiana Bill Calc.'!$D$21)</f>
        <v>0</v>
      </c>
      <c r="F532" s="36" t="s">
        <v>207</v>
      </c>
      <c r="G532" s="17" t="e">
        <f>SUM(J532:M532,O532:P532,R532:AA532)</f>
        <v>#N/A</v>
      </c>
      <c r="H532" s="19" t="e">
        <f>IF(ISBLANK(B532),0,+#REF!/B532)</f>
        <v>#REF!</v>
      </c>
      <c r="J532" s="82">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0.01</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4" t="str">
        <f>+F532</f>
        <v>SL2</v>
      </c>
    </row>
    <row r="533" spans="1:29" ht="13" x14ac:dyDescent="0.3">
      <c r="A533" s="9"/>
      <c r="B533" s="97">
        <v>-1</v>
      </c>
      <c r="D533" s="41"/>
      <c r="E533" s="80"/>
      <c r="F533" s="36"/>
      <c r="G533" s="98"/>
      <c r="H533" s="19"/>
      <c r="J533" s="82"/>
      <c r="K533" s="42"/>
      <c r="O533" s="42"/>
      <c r="P533" s="42"/>
      <c r="Q533" s="42"/>
      <c r="R533" s="38" t="e">
        <f>INDEX('Pwr Factor'!$A$1:$B$52,MATCH((D534),'Pwr Factor'!$A$1:$A$52,0),2)</f>
        <v>#N/A</v>
      </c>
      <c r="S533" s="50">
        <v>0</v>
      </c>
      <c r="T533" s="42"/>
      <c r="U533" s="42"/>
      <c r="V533" s="41"/>
      <c r="W533" s="42"/>
      <c r="X533" s="42"/>
      <c r="Y533" s="42"/>
      <c r="Z533" s="42"/>
      <c r="AA533" s="42"/>
      <c r="AB533" s="19"/>
      <c r="AC533" s="94"/>
    </row>
    <row r="534" spans="1:29" ht="13" x14ac:dyDescent="0.3">
      <c r="A534" s="1" t="s">
        <v>147</v>
      </c>
      <c r="B534" s="103">
        <f>IF(AND('AES Indiana Bill Calc.'!$D$17="SL",'AES Indiana Bill Calc.'!$D$18="No",'AES Indiana Bill Calc.'!$D$20="Yes 2022"),'AES Indiana Bill Calc.'!$D$19,-1)</f>
        <v>-1</v>
      </c>
      <c r="C534" s="103">
        <f>MAX(E534,$C$462)</f>
        <v>50</v>
      </c>
      <c r="D534" s="103" t="b">
        <f>IF(AND('AES Indiana Bill Calc.'!$D$17="SL",'AES Indiana Bill Calc.'!$D$18="No",'AES Indiana Bill Calc.'!$D$20="Yes 2022"),'AES Indiana Bill Calc.'!$D$22)</f>
        <v>0</v>
      </c>
      <c r="E534" s="103" t="b">
        <f>IF(AND('AES Indiana Bill Calc.'!$D$17="SL",'AES Indiana Bill Calc.'!$D$18="No",'AES Indiana Bill Calc.'!$D$20="Yes 2022"),'AES Indiana Bill Calc.'!$D$21)</f>
        <v>0</v>
      </c>
      <c r="F534" s="36" t="s">
        <v>207</v>
      </c>
      <c r="G534" s="17" t="e">
        <f>SUM(J534:M534,O534:P534,R534:AA534)</f>
        <v>#N/A</v>
      </c>
      <c r="H534" s="19" t="e">
        <f>IF(ISBLANK(B534),0,+#REF!/B534)</f>
        <v>#REF!</v>
      </c>
      <c r="J534" s="82">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0.01</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4" t="str">
        <f>+F534</f>
        <v>SL2</v>
      </c>
    </row>
    <row r="535" spans="1:29" ht="13" x14ac:dyDescent="0.3">
      <c r="A535" s="1"/>
      <c r="B535" s="103">
        <v>-1</v>
      </c>
      <c r="C535" s="103"/>
      <c r="D535" s="103"/>
      <c r="E535" s="103"/>
      <c r="F535" s="36"/>
      <c r="G535" s="17"/>
      <c r="H535" s="19"/>
      <c r="J535" s="82"/>
      <c r="K535" s="42"/>
      <c r="N535" s="18"/>
      <c r="O535" s="17"/>
      <c r="P535" s="17"/>
      <c r="Q535" s="42"/>
      <c r="R535" s="38" t="e">
        <f>INDEX('Pwr Factor'!$A$1:$B$52,MATCH((D536),'Pwr Factor'!$A$1:$A$52,0),2)</f>
        <v>#N/A</v>
      </c>
      <c r="S535" s="50">
        <v>1</v>
      </c>
      <c r="T535" s="42"/>
      <c r="U535" s="42"/>
      <c r="V535" s="41"/>
      <c r="W535" s="42"/>
      <c r="X535" s="42"/>
      <c r="Y535" s="42"/>
      <c r="Z535" s="42"/>
      <c r="AA535" s="42"/>
      <c r="AB535" s="19"/>
      <c r="AC535" s="94"/>
    </row>
    <row r="536" spans="1:29" ht="13" x14ac:dyDescent="0.3">
      <c r="A536" s="1" t="s">
        <v>148</v>
      </c>
      <c r="B536" s="103">
        <f>IF(AND('AES Indiana Bill Calc.'!$D$17="SL",'AES Indiana Bill Calc.'!$D$18="Yes 100%",'AES Indiana Bill Calc.'!$D$20="Yes 2023"),'AES Indiana Bill Calc.'!$D$19,-1)</f>
        <v>-1</v>
      </c>
      <c r="C536" s="103">
        <f>MAX(E536,$C$462)</f>
        <v>50</v>
      </c>
      <c r="D536" s="103" t="b">
        <f>IF(AND('AES Indiana Bill Calc.'!$D$17="SL",'AES Indiana Bill Calc.'!$D$18="Yes 100%",'AES Indiana Bill Calc.'!$D$20="Yes 2023"),'AES Indiana Bill Calc.'!$D$22)</f>
        <v>0</v>
      </c>
      <c r="E536" s="103" t="b">
        <f>IF(AND('AES Indiana Bill Calc.'!$D$17="SL",'AES Indiana Bill Calc.'!$D$18="Yes 100%",'AES Indiana Bill Calc.'!$D$20="Yes 2023"),'AES Indiana Bill Calc.'!$D$21)</f>
        <v>0</v>
      </c>
      <c r="F536" s="36" t="s">
        <v>208</v>
      </c>
      <c r="G536" s="17" t="e">
        <f>SUM(J536:M536,O536:P536,R536:AA536)</f>
        <v>#N/A</v>
      </c>
      <c r="H536" s="19" t="e">
        <f>IF(ISBLANK(B536),0,+#REF!/B536)</f>
        <v>#REF!</v>
      </c>
      <c r="J536" s="82">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0.01</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4" t="str">
        <f>+F536</f>
        <v>SL3</v>
      </c>
    </row>
    <row r="537" spans="1:29" ht="13" x14ac:dyDescent="0.3">
      <c r="A537" s="9"/>
      <c r="B537" s="97">
        <v>-1</v>
      </c>
      <c r="D537" s="41"/>
      <c r="E537" s="80"/>
      <c r="F537" s="36"/>
      <c r="G537" s="98"/>
      <c r="H537" s="19"/>
      <c r="J537" s="82"/>
      <c r="K537" s="42"/>
      <c r="O537" s="42"/>
      <c r="P537" s="42"/>
      <c r="Q537" s="42"/>
      <c r="R537" s="38" t="e">
        <f>INDEX('Pwr Factor'!$A$1:$B$52,MATCH((D538),'Pwr Factor'!$A$1:$A$52,0),2)</f>
        <v>#N/A</v>
      </c>
      <c r="S537" s="50">
        <v>0.5</v>
      </c>
      <c r="T537" s="42"/>
      <c r="U537" s="42"/>
      <c r="V537" s="41"/>
      <c r="W537" s="42"/>
      <c r="X537" s="42"/>
      <c r="Y537" s="42"/>
      <c r="Z537" s="42"/>
      <c r="AA537" s="42"/>
      <c r="AB537" s="19"/>
      <c r="AC537" s="94"/>
    </row>
    <row r="538" spans="1:29" ht="13" x14ac:dyDescent="0.3">
      <c r="A538" s="1" t="s">
        <v>149</v>
      </c>
      <c r="B538" s="103">
        <f>IF(AND('AES Indiana Bill Calc.'!$D$17="SL",'AES Indiana Bill Calc.'!$D$18="Yes 50%",'AES Indiana Bill Calc.'!$D$20="Yes 2023"),'AES Indiana Bill Calc.'!$D$19,-1)</f>
        <v>-1</v>
      </c>
      <c r="C538" s="103">
        <f>MAX(E538,$C$462)</f>
        <v>50</v>
      </c>
      <c r="D538" s="103" t="b">
        <f>IF(AND('AES Indiana Bill Calc.'!$D$17="SL",'AES Indiana Bill Calc.'!$D$18="Yes 50%",'AES Indiana Bill Calc.'!$D$20="Yes 2023"),'AES Indiana Bill Calc.'!$D$22)</f>
        <v>0</v>
      </c>
      <c r="E538" s="103" t="b">
        <f>IF(AND('AES Indiana Bill Calc.'!$D$17="SL",'AES Indiana Bill Calc.'!$D$18="Yes 50%",'AES Indiana Bill Calc.'!$D$20="Yes 2023"),'AES Indiana Bill Calc.'!$D$21)</f>
        <v>0</v>
      </c>
      <c r="F538" s="36" t="s">
        <v>208</v>
      </c>
      <c r="G538" s="17" t="e">
        <f>SUM(J538:M538,O538:P538,R538:AA538)</f>
        <v>#N/A</v>
      </c>
      <c r="H538" s="19" t="e">
        <f>IF(ISBLANK(B538),0,+#REF!/B538)</f>
        <v>#REF!</v>
      </c>
      <c r="J538" s="82">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0.01</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4" t="str">
        <f>+F538</f>
        <v>SL3</v>
      </c>
    </row>
    <row r="539" spans="1:29" ht="13" x14ac:dyDescent="0.3">
      <c r="A539" s="9"/>
      <c r="B539" s="97">
        <v>-1</v>
      </c>
      <c r="D539" s="41"/>
      <c r="E539" s="80"/>
      <c r="F539" s="36"/>
      <c r="G539" s="98"/>
      <c r="H539" s="19"/>
      <c r="J539" s="82"/>
      <c r="K539" s="42"/>
      <c r="O539" s="42"/>
      <c r="P539" s="42"/>
      <c r="Q539" s="42"/>
      <c r="R539" s="38" t="e">
        <f>INDEX('Pwr Factor'!$A$1:$B$52,MATCH((D540),'Pwr Factor'!$A$1:$A$52,0),2)</f>
        <v>#N/A</v>
      </c>
      <c r="S539" s="50">
        <v>0.25</v>
      </c>
      <c r="T539" s="42"/>
      <c r="U539" s="42"/>
      <c r="V539" s="41"/>
      <c r="W539" s="42"/>
      <c r="X539" s="42"/>
      <c r="Y539" s="42"/>
      <c r="Z539" s="42"/>
      <c r="AA539" s="42"/>
      <c r="AB539" s="19"/>
      <c r="AC539" s="94"/>
    </row>
    <row r="540" spans="1:29" ht="13" x14ac:dyDescent="0.3">
      <c r="A540" s="1" t="s">
        <v>150</v>
      </c>
      <c r="B540" s="103">
        <f>IF(AND('AES Indiana Bill Calc.'!$D$17="SL",'AES Indiana Bill Calc.'!$D$18="Yes 25%",'AES Indiana Bill Calc.'!$D$20="Yes 2023"),'AES Indiana Bill Calc.'!$D$19,-1)</f>
        <v>-1</v>
      </c>
      <c r="C540" s="103">
        <f>MAX(E540,$C$462)</f>
        <v>50</v>
      </c>
      <c r="D540" s="103" t="b">
        <f>IF(AND('AES Indiana Bill Calc.'!$D$17="SL",'AES Indiana Bill Calc.'!$D$18="Yes 25%",'AES Indiana Bill Calc.'!$D$20="Yes 2023"),'AES Indiana Bill Calc.'!$D$22)</f>
        <v>0</v>
      </c>
      <c r="E540" s="103" t="b">
        <f>IF(AND('AES Indiana Bill Calc.'!$D$17="SL",'AES Indiana Bill Calc.'!$D$18="Yes 25%",'AES Indiana Bill Calc.'!$D$20="Yes 2023"),'AES Indiana Bill Calc.'!$D$21)</f>
        <v>0</v>
      </c>
      <c r="F540" s="36" t="s">
        <v>208</v>
      </c>
      <c r="G540" s="17" t="e">
        <f>SUM(J540:M540,O540:P540,R540:AA540)</f>
        <v>#N/A</v>
      </c>
      <c r="H540" s="19" t="e">
        <f>IF(ISBLANK(B540),0,+#REF!/B540)</f>
        <v>#REF!</v>
      </c>
      <c r="J540" s="82">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0.01</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4" t="str">
        <f>+F540</f>
        <v>SL3</v>
      </c>
    </row>
    <row r="541" spans="1:29" ht="13" x14ac:dyDescent="0.3">
      <c r="A541" s="9"/>
      <c r="B541" s="97">
        <v>-1</v>
      </c>
      <c r="D541" s="41"/>
      <c r="E541" s="80"/>
      <c r="F541" s="36"/>
      <c r="G541" s="98"/>
      <c r="H541" s="19"/>
      <c r="J541" s="82"/>
      <c r="K541" s="42"/>
      <c r="O541" s="42"/>
      <c r="P541" s="42"/>
      <c r="Q541" s="42"/>
      <c r="R541" s="38" t="e">
        <f>INDEX('Pwr Factor'!$A$1:$B$52,MATCH((D542),'Pwr Factor'!$A$1:$A$52,0),2)</f>
        <v>#N/A</v>
      </c>
      <c r="S541" s="50">
        <v>0.1</v>
      </c>
      <c r="T541" s="42"/>
      <c r="U541" s="42"/>
      <c r="V541" s="41"/>
      <c r="W541" s="42"/>
      <c r="X541" s="42"/>
      <c r="Y541" s="42"/>
      <c r="Z541" s="42"/>
      <c r="AA541" s="42"/>
      <c r="AB541" s="19"/>
      <c r="AC541" s="94"/>
    </row>
    <row r="542" spans="1:29" ht="13" x14ac:dyDescent="0.3">
      <c r="A542" s="1" t="s">
        <v>164</v>
      </c>
      <c r="B542" s="103">
        <f>IF(AND('AES Indiana Bill Calc.'!$D$17="SL",'AES Indiana Bill Calc.'!$D$18="Yes 10%",'AES Indiana Bill Calc.'!$D$20="Yes 2023"),'AES Indiana Bill Calc.'!$D$19,-1)</f>
        <v>-1</v>
      </c>
      <c r="C542" s="103">
        <f>MAX(E542,$C$462)</f>
        <v>50</v>
      </c>
      <c r="D542" s="103" t="b">
        <f>IF(AND('AES Indiana Bill Calc.'!$D$17="SL",'AES Indiana Bill Calc.'!$D$18="Yes 10%",'AES Indiana Bill Calc.'!$D$20="Yes 2023"),'AES Indiana Bill Calc.'!$D$22)</f>
        <v>0</v>
      </c>
      <c r="E542" s="103" t="b">
        <f>IF(AND('AES Indiana Bill Calc.'!$D$17="SL",'AES Indiana Bill Calc.'!$D$18="Yes 10%",'AES Indiana Bill Calc.'!$D$20="Yes 2023"),'AES Indiana Bill Calc.'!$D$21)</f>
        <v>0</v>
      </c>
      <c r="F542" s="36" t="s">
        <v>208</v>
      </c>
      <c r="G542" s="17" t="e">
        <f>SUM(J542:M542,O542:P542,R542:AA542)</f>
        <v>#N/A</v>
      </c>
      <c r="H542" s="19" t="e">
        <f>IF(ISBLANK(B542),0,+#REF!/B542)</f>
        <v>#REF!</v>
      </c>
      <c r="J542" s="82">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0.01</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4" t="str">
        <f>+F542</f>
        <v>SL3</v>
      </c>
    </row>
    <row r="543" spans="1:29" ht="13" x14ac:dyDescent="0.3">
      <c r="A543" s="9"/>
      <c r="B543" s="97">
        <v>-1</v>
      </c>
      <c r="D543" s="41"/>
      <c r="E543" s="80"/>
      <c r="F543" s="36"/>
      <c r="G543" s="98"/>
      <c r="H543" s="19"/>
      <c r="J543" s="82"/>
      <c r="K543" s="42"/>
      <c r="O543" s="42"/>
      <c r="P543" s="42"/>
      <c r="Q543" s="42"/>
      <c r="R543" s="38" t="e">
        <f>INDEX('Pwr Factor'!$A$1:$B$52,MATCH((D544),'Pwr Factor'!$A$1:$A$52,0),2)</f>
        <v>#N/A</v>
      </c>
      <c r="S543" s="50">
        <v>0</v>
      </c>
      <c r="T543" s="42"/>
      <c r="U543" s="42"/>
      <c r="V543" s="41"/>
      <c r="W543" s="42"/>
      <c r="X543" s="42"/>
      <c r="Y543" s="42"/>
      <c r="Z543" s="42"/>
      <c r="AA543" s="42"/>
      <c r="AB543" s="19"/>
      <c r="AC543" s="94"/>
    </row>
    <row r="544" spans="1:29" ht="13" x14ac:dyDescent="0.3">
      <c r="A544" s="1" t="s">
        <v>147</v>
      </c>
      <c r="B544" s="103">
        <f>IF(AND('AES Indiana Bill Calc.'!$D$17="SL",'AES Indiana Bill Calc.'!$D$18="No",'AES Indiana Bill Calc.'!$D$20="Yes 2023"),'AES Indiana Bill Calc.'!$D$19,-1)</f>
        <v>-1</v>
      </c>
      <c r="C544" s="103">
        <f>MAX(E544,$C$462)</f>
        <v>50</v>
      </c>
      <c r="D544" s="103" t="b">
        <f>IF(AND('AES Indiana Bill Calc.'!$D$17="SL",'AES Indiana Bill Calc.'!$D$18="No",'AES Indiana Bill Calc.'!$D$20="Yes 2023"),'AES Indiana Bill Calc.'!$D$22)</f>
        <v>0</v>
      </c>
      <c r="E544" s="103" t="b">
        <f>IF(AND('AES Indiana Bill Calc.'!$D$17="SL",'AES Indiana Bill Calc.'!$D$18="No",'AES Indiana Bill Calc.'!$D$20="Yes 2023"),'AES Indiana Bill Calc.'!$D$21)</f>
        <v>0</v>
      </c>
      <c r="F544" s="36" t="s">
        <v>208</v>
      </c>
      <c r="G544" s="17" t="e">
        <f>SUM(J544:M544,O544:P544,R544:AA544)</f>
        <v>#N/A</v>
      </c>
      <c r="H544" s="19" t="e">
        <f>IF(ISBLANK(B544),0,+#REF!/B544)</f>
        <v>#REF!</v>
      </c>
      <c r="J544" s="82">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0.01</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4" t="str">
        <f>+F544</f>
        <v>SL3</v>
      </c>
    </row>
    <row r="545" spans="1:29" ht="13" x14ac:dyDescent="0.3">
      <c r="A545" s="1"/>
      <c r="B545" s="103">
        <v>-1</v>
      </c>
      <c r="C545" s="103"/>
      <c r="D545" s="103"/>
      <c r="E545" s="103"/>
      <c r="F545" s="36"/>
      <c r="G545" s="17"/>
      <c r="H545" s="19"/>
      <c r="J545" s="82"/>
      <c r="K545" s="42"/>
      <c r="N545" s="18"/>
      <c r="O545" s="17"/>
      <c r="P545" s="17"/>
      <c r="Q545" s="42"/>
      <c r="R545" s="38" t="e">
        <f>INDEX('Pwr Factor'!$A$1:$B$52,MATCH((D546),'Pwr Factor'!$A$1:$A$52,0),2)</f>
        <v>#N/A</v>
      </c>
      <c r="S545" s="50">
        <v>1</v>
      </c>
      <c r="T545" s="42"/>
      <c r="U545" s="42"/>
      <c r="V545" s="41"/>
      <c r="W545" s="42"/>
      <c r="X545" s="42"/>
      <c r="Y545" s="42"/>
      <c r="Z545" s="42"/>
      <c r="AA545" s="42"/>
      <c r="AB545" s="19"/>
      <c r="AC545" s="94"/>
    </row>
    <row r="546" spans="1:29" ht="13" x14ac:dyDescent="0.3">
      <c r="A546" s="1" t="s">
        <v>148</v>
      </c>
      <c r="B546" s="103">
        <f>IF(AND('AES Indiana Bill Calc.'!$D$17="SL",'AES Indiana Bill Calc.'!$D$18="Yes 100%",'AES Indiana Bill Calc.'!$D$20="Yes 2024"),'AES Indiana Bill Calc.'!$D$19,-1)</f>
        <v>-1</v>
      </c>
      <c r="C546" s="103">
        <f>MAX(E546,$C$462)</f>
        <v>50</v>
      </c>
      <c r="D546" s="103" t="b">
        <f>IF(AND('AES Indiana Bill Calc.'!$D$17="SL",'AES Indiana Bill Calc.'!$D$18="Yes 100%",'AES Indiana Bill Calc.'!$D$20="Yes 2024"),'AES Indiana Bill Calc.'!$D$22)</f>
        <v>0</v>
      </c>
      <c r="E546" s="103" t="b">
        <f>IF(AND('AES Indiana Bill Calc.'!$D$17="SL",'AES Indiana Bill Calc.'!$D$18="Yes 100%",'AES Indiana Bill Calc.'!$D$20="Yes 2024"),'AES Indiana Bill Calc.'!$D$21)</f>
        <v>0</v>
      </c>
      <c r="F546" s="36" t="s">
        <v>306</v>
      </c>
      <c r="G546" s="17" t="e">
        <f>SUM(J546:M546,O546:P546,R546:AA546)</f>
        <v>#N/A</v>
      </c>
      <c r="H546" s="19" t="e">
        <f>IF(ISBLANK(B546),0,+#REF!/B546)</f>
        <v>#REF!</v>
      </c>
      <c r="J546" s="82">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0.01</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4" t="str">
        <f>+F546</f>
        <v>SL4</v>
      </c>
    </row>
    <row r="547" spans="1:29" ht="13" x14ac:dyDescent="0.3">
      <c r="A547" s="9"/>
      <c r="B547" s="97">
        <v>-1</v>
      </c>
      <c r="D547" s="41"/>
      <c r="E547" s="80"/>
      <c r="F547" s="36"/>
      <c r="G547" s="98"/>
      <c r="H547" s="19"/>
      <c r="J547" s="82"/>
      <c r="K547" s="42"/>
      <c r="O547" s="42"/>
      <c r="P547" s="42"/>
      <c r="Q547" s="42"/>
      <c r="R547" s="38" t="e">
        <f>INDEX('Pwr Factor'!$A$1:$B$52,MATCH((D548),'Pwr Factor'!$A$1:$A$52,0),2)</f>
        <v>#N/A</v>
      </c>
      <c r="S547" s="50">
        <v>0.5</v>
      </c>
      <c r="T547" s="42"/>
      <c r="U547" s="42"/>
      <c r="V547" s="41"/>
      <c r="W547" s="42"/>
      <c r="X547" s="42"/>
      <c r="Y547" s="42"/>
      <c r="Z547" s="42"/>
      <c r="AA547" s="42"/>
      <c r="AB547" s="19"/>
      <c r="AC547" s="94"/>
    </row>
    <row r="548" spans="1:29" ht="13" x14ac:dyDescent="0.3">
      <c r="A548" s="1" t="s">
        <v>149</v>
      </c>
      <c r="B548" s="103">
        <f>IF(AND('AES Indiana Bill Calc.'!$D$17="SL",'AES Indiana Bill Calc.'!$D$18="Yes 50%",'AES Indiana Bill Calc.'!$D$20="Yes 2024"),'AES Indiana Bill Calc.'!$D$19,-1)</f>
        <v>-1</v>
      </c>
      <c r="C548" s="103">
        <f>MAX(E548,$C$462)</f>
        <v>50</v>
      </c>
      <c r="D548" s="103" t="b">
        <f>IF(AND('AES Indiana Bill Calc.'!$D$17="SL",'AES Indiana Bill Calc.'!$D$18="Yes 50%",'AES Indiana Bill Calc.'!$D$20="Yes 2024"),'AES Indiana Bill Calc.'!$D$22)</f>
        <v>0</v>
      </c>
      <c r="E548" s="103" t="b">
        <f>IF(AND('AES Indiana Bill Calc.'!$D$17="SL",'AES Indiana Bill Calc.'!$D$18="Yes 50%",'AES Indiana Bill Calc.'!$D$20="Yes 2024"),'AES Indiana Bill Calc.'!$D$21)</f>
        <v>0</v>
      </c>
      <c r="F548" s="36" t="s">
        <v>306</v>
      </c>
      <c r="G548" s="17" t="e">
        <f>SUM(J548:M548,O548:P548,R548:AA548)</f>
        <v>#N/A</v>
      </c>
      <c r="H548" s="19" t="e">
        <f>IF(ISBLANK(B548),0,+#REF!/B548)</f>
        <v>#REF!</v>
      </c>
      <c r="J548" s="82">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0.01</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4" t="str">
        <f>+F548</f>
        <v>SL4</v>
      </c>
    </row>
    <row r="549" spans="1:29" ht="13" x14ac:dyDescent="0.3">
      <c r="A549" s="9"/>
      <c r="B549" s="97">
        <v>-1</v>
      </c>
      <c r="D549" s="41"/>
      <c r="E549" s="80"/>
      <c r="F549" s="36"/>
      <c r="G549" s="98"/>
      <c r="H549" s="19"/>
      <c r="J549" s="82"/>
      <c r="K549" s="42"/>
      <c r="O549" s="42"/>
      <c r="P549" s="42"/>
      <c r="Q549" s="42"/>
      <c r="R549" s="38" t="e">
        <f>INDEX('Pwr Factor'!$A$1:$B$52,MATCH((D550),'Pwr Factor'!$A$1:$A$52,0),2)</f>
        <v>#N/A</v>
      </c>
      <c r="S549" s="50">
        <v>0.25</v>
      </c>
      <c r="T549" s="42"/>
      <c r="U549" s="42"/>
      <c r="V549" s="41"/>
      <c r="W549" s="42"/>
      <c r="X549" s="42"/>
      <c r="Y549" s="42"/>
      <c r="Z549" s="42"/>
      <c r="AA549" s="42"/>
      <c r="AB549" s="19"/>
      <c r="AC549" s="94"/>
    </row>
    <row r="550" spans="1:29" ht="13" x14ac:dyDescent="0.3">
      <c r="A550" s="1" t="s">
        <v>150</v>
      </c>
      <c r="B550" s="103">
        <f>IF(AND('AES Indiana Bill Calc.'!$D$17="SL",'AES Indiana Bill Calc.'!$D$18="Yes 25%",'AES Indiana Bill Calc.'!$D$20="Yes 2024"),'AES Indiana Bill Calc.'!$D$19,-1)</f>
        <v>-1</v>
      </c>
      <c r="C550" s="103">
        <f>MAX(E550,$C$462)</f>
        <v>50</v>
      </c>
      <c r="D550" s="103" t="b">
        <f>IF(AND('AES Indiana Bill Calc.'!$D$17="SL",'AES Indiana Bill Calc.'!$D$18="Yes 25%",'AES Indiana Bill Calc.'!$D$20="Yes 2024"),'AES Indiana Bill Calc.'!$D$22)</f>
        <v>0</v>
      </c>
      <c r="E550" s="103" t="b">
        <f>IF(AND('AES Indiana Bill Calc.'!$D$17="SL",'AES Indiana Bill Calc.'!$D$18="Yes 25%",'AES Indiana Bill Calc.'!$D$20="Yes 2024"),'AES Indiana Bill Calc.'!$D$21)</f>
        <v>0</v>
      </c>
      <c r="F550" s="36" t="s">
        <v>306</v>
      </c>
      <c r="G550" s="17" t="e">
        <f>SUM(J550:M550,O550:P550,R550:AA550)</f>
        <v>#N/A</v>
      </c>
      <c r="H550" s="19" t="e">
        <f>IF(ISBLANK(B550),0,+#REF!/B550)</f>
        <v>#REF!</v>
      </c>
      <c r="J550" s="82">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0.01</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4" t="str">
        <f>+F550</f>
        <v>SL4</v>
      </c>
    </row>
    <row r="551" spans="1:29" ht="13" x14ac:dyDescent="0.3">
      <c r="A551" s="9"/>
      <c r="B551" s="97">
        <v>-1</v>
      </c>
      <c r="D551" s="41"/>
      <c r="E551" s="80"/>
      <c r="F551" s="36"/>
      <c r="G551" s="98"/>
      <c r="H551" s="19"/>
      <c r="J551" s="82"/>
      <c r="K551" s="42"/>
      <c r="O551" s="42"/>
      <c r="P551" s="42"/>
      <c r="Q551" s="42"/>
      <c r="R551" s="38" t="e">
        <f>INDEX('Pwr Factor'!$A$1:$B$52,MATCH((D552),'Pwr Factor'!$A$1:$A$52,0),2)</f>
        <v>#N/A</v>
      </c>
      <c r="S551" s="50">
        <v>0.1</v>
      </c>
      <c r="T551" s="42"/>
      <c r="U551" s="42"/>
      <c r="V551" s="41"/>
      <c r="W551" s="42"/>
      <c r="X551" s="42"/>
      <c r="Y551" s="42"/>
      <c r="Z551" s="42"/>
      <c r="AA551" s="42"/>
      <c r="AB551" s="19"/>
      <c r="AC551" s="94"/>
    </row>
    <row r="552" spans="1:29" ht="13" x14ac:dyDescent="0.3">
      <c r="A552" s="1" t="s">
        <v>164</v>
      </c>
      <c r="B552" s="103">
        <f>IF(AND('AES Indiana Bill Calc.'!$D$17="SL",'AES Indiana Bill Calc.'!$D$18="Yes 10%",'AES Indiana Bill Calc.'!$D$20="Yes 2024"),'AES Indiana Bill Calc.'!$D$19,-1)</f>
        <v>-1</v>
      </c>
      <c r="C552" s="103">
        <f>MAX(E552,$C$462)</f>
        <v>50</v>
      </c>
      <c r="D552" s="103" t="b">
        <f>IF(AND('AES Indiana Bill Calc.'!$D$17="SL",'AES Indiana Bill Calc.'!$D$18="Yes 10%",'AES Indiana Bill Calc.'!$D$20="Yes 2024"),'AES Indiana Bill Calc.'!$D$22)</f>
        <v>0</v>
      </c>
      <c r="E552" s="103" t="b">
        <f>IF(AND('AES Indiana Bill Calc.'!$D$17="SL",'AES Indiana Bill Calc.'!$D$18="Yes 10%",'AES Indiana Bill Calc.'!$D$20="Yes 2024"),'AES Indiana Bill Calc.'!$D$21)</f>
        <v>0</v>
      </c>
      <c r="F552" s="36" t="s">
        <v>306</v>
      </c>
      <c r="G552" s="17" t="e">
        <f>SUM(J552:M552,O552:P552,R552:AA552)</f>
        <v>#N/A</v>
      </c>
      <c r="H552" s="19" t="e">
        <f>IF(ISBLANK(B552),0,+#REF!/B552)</f>
        <v>#REF!</v>
      </c>
      <c r="J552" s="82">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0.01</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4" t="str">
        <f>+F552</f>
        <v>SL4</v>
      </c>
    </row>
    <row r="553" spans="1:29" ht="13" x14ac:dyDescent="0.3">
      <c r="A553" s="9"/>
      <c r="B553" s="97">
        <v>-1</v>
      </c>
      <c r="D553" s="41"/>
      <c r="E553" s="80"/>
      <c r="F553" s="36"/>
      <c r="G553" s="98"/>
      <c r="H553" s="19"/>
      <c r="J553" s="82"/>
      <c r="K553" s="42"/>
      <c r="O553" s="42"/>
      <c r="P553" s="42"/>
      <c r="Q553" s="42"/>
      <c r="R553" s="38" t="e">
        <f>INDEX('Pwr Factor'!$A$1:$B$52,MATCH((D554),'Pwr Factor'!$A$1:$A$52,0),2)</f>
        <v>#N/A</v>
      </c>
      <c r="S553" s="50">
        <v>0</v>
      </c>
      <c r="T553" s="42"/>
      <c r="U553" s="42"/>
      <c r="V553" s="41"/>
      <c r="W553" s="42"/>
      <c r="X553" s="42"/>
      <c r="Y553" s="42"/>
      <c r="Z553" s="42"/>
      <c r="AA553" s="42"/>
      <c r="AB553" s="19"/>
      <c r="AC553" s="94"/>
    </row>
    <row r="554" spans="1:29" ht="13" x14ac:dyDescent="0.3">
      <c r="A554" s="1" t="s">
        <v>147</v>
      </c>
      <c r="B554" s="103">
        <f>IF(AND('AES Indiana Bill Calc.'!$D$17="SL",'AES Indiana Bill Calc.'!$D$18="No",'AES Indiana Bill Calc.'!$D$20="Yes 2024"),'AES Indiana Bill Calc.'!$D$19,-1)</f>
        <v>-1</v>
      </c>
      <c r="C554" s="103">
        <f>MAX(E554,$C$462)</f>
        <v>50</v>
      </c>
      <c r="D554" s="103" t="b">
        <f>IF(AND('AES Indiana Bill Calc.'!$D$17="SL",'AES Indiana Bill Calc.'!$D$18="No",'AES Indiana Bill Calc.'!$D$20="Yes 2024"),'AES Indiana Bill Calc.'!$D$22)</f>
        <v>0</v>
      </c>
      <c r="E554" s="103" t="b">
        <f>IF(AND('AES Indiana Bill Calc.'!$D$17="SL",'AES Indiana Bill Calc.'!$D$18="No",'AES Indiana Bill Calc.'!$D$20="Yes 2024"),'AES Indiana Bill Calc.'!$D$21)</f>
        <v>0</v>
      </c>
      <c r="F554" s="36" t="s">
        <v>306</v>
      </c>
      <c r="G554" s="17" t="e">
        <f>SUM(J554:M554,O554:P554,R554:AA554)</f>
        <v>#N/A</v>
      </c>
      <c r="H554" s="19" t="e">
        <f>IF(ISBLANK(B554),0,+#REF!/B554)</f>
        <v>#REF!</v>
      </c>
      <c r="J554" s="82">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0.01</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4" t="str">
        <f>+F554</f>
        <v>SL4</v>
      </c>
    </row>
    <row r="555" spans="1:29" ht="13" x14ac:dyDescent="0.3">
      <c r="A555" s="1"/>
      <c r="B555" s="103">
        <v>-1</v>
      </c>
      <c r="C555" s="103"/>
      <c r="D555" s="103"/>
      <c r="E555" s="103"/>
      <c r="F555" s="36"/>
      <c r="G555" s="17"/>
      <c r="H555" s="19"/>
      <c r="J555" s="82"/>
      <c r="K555" s="42"/>
      <c r="N555" s="18"/>
      <c r="O555" s="17"/>
      <c r="P555" s="17"/>
      <c r="Q555" s="42"/>
      <c r="R555" s="16"/>
      <c r="S555" s="42"/>
      <c r="T555" s="42"/>
      <c r="U555" s="42"/>
      <c r="V555" s="41"/>
      <c r="W555" s="42"/>
      <c r="X555" s="42"/>
      <c r="Y555" s="42"/>
      <c r="Z555" s="42"/>
      <c r="AA555" s="42"/>
      <c r="AB555" s="19"/>
      <c r="AC555" s="94"/>
    </row>
    <row r="556" spans="1:29" x14ac:dyDescent="0.25">
      <c r="B556" s="103">
        <v>-1</v>
      </c>
      <c r="C556" s="9"/>
      <c r="D556" s="8"/>
      <c r="S556" s="6"/>
      <c r="T556" s="6"/>
      <c r="U556" s="6"/>
      <c r="V556" s="27">
        <f>+T14</f>
        <v>0</v>
      </c>
      <c r="W556" s="6" t="s">
        <v>155</v>
      </c>
      <c r="X556" s="6"/>
      <c r="Y556" s="6"/>
      <c r="Z556" s="6"/>
      <c r="AA556" s="6"/>
      <c r="AB556" s="19" t="e">
        <f>+AB$564-V$564+#REF!</f>
        <v>#REF!</v>
      </c>
    </row>
    <row r="557" spans="1:29" x14ac:dyDescent="0.25">
      <c r="B557" s="103">
        <v>-1</v>
      </c>
      <c r="C557" s="9"/>
      <c r="D557" s="8"/>
      <c r="S557" s="6"/>
      <c r="T557" s="6"/>
      <c r="U557" s="6"/>
      <c r="V557" s="27">
        <f>T16</f>
        <v>-4.3999999999999999E-5</v>
      </c>
      <c r="W557" s="6" t="s">
        <v>156</v>
      </c>
      <c r="X557" s="6"/>
      <c r="Y557" s="6"/>
      <c r="Z557" s="6"/>
      <c r="AA557" s="6"/>
      <c r="AB557" s="19"/>
    </row>
    <row r="558" spans="1:29" x14ac:dyDescent="0.25">
      <c r="B558" s="103">
        <v>-1</v>
      </c>
      <c r="C558" s="9"/>
      <c r="D558" s="8"/>
      <c r="S558" s="6"/>
      <c r="T558" s="6"/>
      <c r="U558" s="6"/>
      <c r="V558" s="27">
        <f>$T$19</f>
        <v>1.15E-4</v>
      </c>
      <c r="W558" s="6" t="s">
        <v>157</v>
      </c>
      <c r="X558" s="6"/>
      <c r="Y558" s="6"/>
      <c r="Z558" s="6"/>
      <c r="AA558" s="6"/>
      <c r="AB558" s="19"/>
    </row>
    <row r="559" spans="1:29" x14ac:dyDescent="0.25">
      <c r="B559" s="103">
        <v>-1</v>
      </c>
      <c r="C559" s="9"/>
      <c r="D559" s="8"/>
      <c r="S559" s="6"/>
      <c r="T559" s="6"/>
      <c r="U559" s="6"/>
      <c r="V559" s="27">
        <f>$T$21</f>
        <v>4.6099999999999998E-4</v>
      </c>
      <c r="W559" s="6" t="s">
        <v>158</v>
      </c>
      <c r="X559" s="6"/>
      <c r="Y559" s="6"/>
      <c r="Z559" s="6"/>
      <c r="AA559" s="6"/>
      <c r="AB559" s="19"/>
    </row>
    <row r="560" spans="1:29" x14ac:dyDescent="0.25">
      <c r="B560" s="103">
        <v>-1</v>
      </c>
      <c r="C560" s="9"/>
      <c r="D560" s="8"/>
      <c r="S560" s="6"/>
      <c r="T560" s="6"/>
      <c r="U560" s="6"/>
      <c r="V560" s="27">
        <f>$T$23</f>
        <v>-8.1300000000000003E-4</v>
      </c>
      <c r="W560" s="6" t="s">
        <v>159</v>
      </c>
      <c r="X560" s="6"/>
      <c r="Y560" s="6"/>
      <c r="Z560" s="6"/>
      <c r="AA560" s="6"/>
      <c r="AB560" s="19"/>
    </row>
    <row r="561" spans="1:29" x14ac:dyDescent="0.25">
      <c r="B561" s="103">
        <v>-1</v>
      </c>
      <c r="C561" s="33" t="s">
        <v>194</v>
      </c>
      <c r="D561" s="8"/>
      <c r="S561" s="6"/>
      <c r="T561" s="6"/>
      <c r="U561" s="6"/>
      <c r="V561" s="27">
        <f>$T$25</f>
        <v>0</v>
      </c>
      <c r="W561" s="6" t="s">
        <v>160</v>
      </c>
      <c r="X561" s="6"/>
      <c r="Y561" s="6"/>
      <c r="Z561" s="6"/>
      <c r="AA561" s="6"/>
      <c r="AB561" s="19"/>
    </row>
    <row r="562" spans="1:29" x14ac:dyDescent="0.25">
      <c r="B562" s="103">
        <v>-1</v>
      </c>
      <c r="C562" s="73">
        <v>500</v>
      </c>
      <c r="D562" s="8"/>
      <c r="S562" s="6"/>
      <c r="T562" s="6"/>
      <c r="U562" s="6"/>
      <c r="V562" s="19">
        <f>T27</f>
        <v>0</v>
      </c>
      <c r="W562" s="6" t="s">
        <v>161</v>
      </c>
      <c r="X562" s="6"/>
      <c r="Y562" s="6"/>
      <c r="Z562" s="6"/>
      <c r="AA562" s="6"/>
      <c r="AB562" s="19"/>
    </row>
    <row r="563" spans="1:29" x14ac:dyDescent="0.25">
      <c r="B563" s="103"/>
      <c r="C563" s="73"/>
      <c r="D563" s="8"/>
      <c r="S563" s="6"/>
      <c r="T563" s="6"/>
      <c r="U563" s="6"/>
      <c r="V563" s="19">
        <f>T29</f>
        <v>2.6050000000000001E-3</v>
      </c>
      <c r="W563" s="6" t="s">
        <v>301</v>
      </c>
      <c r="X563" s="6"/>
      <c r="Y563" s="6"/>
      <c r="Z563" s="6"/>
      <c r="AA563" s="6"/>
      <c r="AB563" s="19"/>
    </row>
    <row r="564" spans="1:29" x14ac:dyDescent="0.25">
      <c r="A564" s="1"/>
      <c r="B564" s="103">
        <v>-1</v>
      </c>
      <c r="C564" s="9"/>
      <c r="D564" s="8"/>
      <c r="F564" s="70"/>
      <c r="G564" s="70"/>
      <c r="H564" s="70"/>
      <c r="J564" s="161">
        <v>130</v>
      </c>
      <c r="K564" s="162">
        <v>4.0835999999999997E-2</v>
      </c>
      <c r="L564" s="161">
        <v>28.3</v>
      </c>
      <c r="M564" s="161">
        <v>28.3</v>
      </c>
      <c r="N564" s="72"/>
      <c r="O564" s="72"/>
      <c r="P564" s="72"/>
      <c r="Q564" s="72"/>
      <c r="R564" s="5"/>
      <c r="S564" s="27">
        <f>+M$5</f>
        <v>2.5999999999999999E-3</v>
      </c>
      <c r="T564" s="27">
        <f>+R$5</f>
        <v>-7.7250000000000001E-3</v>
      </c>
      <c r="U564" s="27">
        <f>+S$31</f>
        <v>1.305E-3</v>
      </c>
      <c r="V564" s="27">
        <f>+T$5</f>
        <v>5.5240000000000003E-3</v>
      </c>
      <c r="W564" s="27">
        <f>+U$5</f>
        <v>0</v>
      </c>
      <c r="X564" s="27">
        <f>+V$31</f>
        <v>2.5569999999999998E-3</v>
      </c>
      <c r="Y564" s="27">
        <f>W31</f>
        <v>-1.771E-3</v>
      </c>
      <c r="Z564" s="27">
        <f>X31</f>
        <v>6.2500000000000001E-4</v>
      </c>
      <c r="AA564" s="27">
        <f>Y31</f>
        <v>-3.4600000000000001E-4</v>
      </c>
      <c r="AB564" s="19">
        <f>SUM(U564:Z564)</f>
        <v>8.2400000000000008E-3</v>
      </c>
    </row>
    <row r="565" spans="1:29" x14ac:dyDescent="0.25">
      <c r="B565" s="103">
        <v>-1</v>
      </c>
      <c r="C565" s="9"/>
      <c r="D565" s="8"/>
      <c r="F565" s="70"/>
      <c r="G565" s="70"/>
      <c r="H565" s="70"/>
      <c r="I565" s="70"/>
      <c r="J565" s="70"/>
      <c r="K565" s="70"/>
      <c r="L565" s="73">
        <v>2000</v>
      </c>
      <c r="M565" s="70"/>
      <c r="N565" s="70"/>
      <c r="O565" s="70"/>
      <c r="P565" s="70"/>
      <c r="Q565" s="70"/>
    </row>
    <row r="566" spans="1:29" x14ac:dyDescent="0.25">
      <c r="B566" s="103">
        <v>-1</v>
      </c>
      <c r="C566" s="9"/>
      <c r="D566" s="8"/>
      <c r="F566" s="12"/>
      <c r="J566" s="12" t="s">
        <v>137</v>
      </c>
      <c r="K566" s="12" t="s">
        <v>197</v>
      </c>
      <c r="L566" s="195" t="s">
        <v>30</v>
      </c>
      <c r="M566" s="195"/>
      <c r="N566" s="12"/>
      <c r="O566" s="12"/>
      <c r="P566" s="12"/>
      <c r="Q566" s="12"/>
      <c r="R566" s="12" t="s">
        <v>196</v>
      </c>
      <c r="S566" s="12">
        <v>21</v>
      </c>
      <c r="T566" s="12">
        <v>6</v>
      </c>
      <c r="U566" s="12">
        <v>3</v>
      </c>
      <c r="V566" s="12">
        <v>22</v>
      </c>
      <c r="W566" s="12">
        <v>13</v>
      </c>
      <c r="X566" s="12">
        <v>20</v>
      </c>
      <c r="Y566" s="12">
        <v>24</v>
      </c>
      <c r="Z566" s="12">
        <v>25</v>
      </c>
      <c r="AA566" s="12">
        <v>26</v>
      </c>
    </row>
    <row r="567" spans="1:29" x14ac:dyDescent="0.25">
      <c r="A567" s="13"/>
      <c r="B567" s="103">
        <v>-1</v>
      </c>
      <c r="C567" s="99" t="s">
        <v>209</v>
      </c>
      <c r="D567" s="100" t="s">
        <v>210</v>
      </c>
      <c r="E567" s="130" t="s">
        <v>199</v>
      </c>
      <c r="F567" s="13" t="s">
        <v>141</v>
      </c>
      <c r="G567" s="13" t="s">
        <v>142</v>
      </c>
      <c r="H567" s="13" t="s">
        <v>143</v>
      </c>
      <c r="I567" s="12"/>
      <c r="J567" s="13" t="s">
        <v>144</v>
      </c>
      <c r="K567" s="13" t="s">
        <v>144</v>
      </c>
      <c r="L567" s="13" t="s">
        <v>211</v>
      </c>
      <c r="M567" s="13" t="s">
        <v>212</v>
      </c>
      <c r="N567" s="143" t="s">
        <v>138</v>
      </c>
      <c r="O567" s="13"/>
      <c r="P567" s="13"/>
      <c r="Q567" s="143" t="s">
        <v>173</v>
      </c>
      <c r="R567" s="13" t="s">
        <v>201</v>
      </c>
      <c r="S567" s="13" t="s">
        <v>106</v>
      </c>
      <c r="T567" s="13" t="s">
        <v>36</v>
      </c>
      <c r="U567" s="139" t="s">
        <v>38</v>
      </c>
      <c r="V567" s="13" t="s">
        <v>107</v>
      </c>
      <c r="W567" s="13" t="s">
        <v>108</v>
      </c>
      <c r="X567" s="13" t="s">
        <v>109</v>
      </c>
      <c r="Y567" s="139" t="s">
        <v>44</v>
      </c>
      <c r="Z567" s="139" t="s">
        <v>46</v>
      </c>
      <c r="AA567" s="139" t="s">
        <v>48</v>
      </c>
      <c r="AB567" s="66" t="s">
        <v>110</v>
      </c>
    </row>
    <row r="568" spans="1:29" ht="13" x14ac:dyDescent="0.3">
      <c r="B568" s="103">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ht="13" x14ac:dyDescent="0.3">
      <c r="A569" s="1" t="s">
        <v>148</v>
      </c>
      <c r="B569" s="103">
        <f>IF(AND('AES Indiana Bill Calc.'!$D$17="PL",'AES Indiana Bill Calc.'!$D$18="Yes 100%",'AES Indiana Bill Calc.'!$D$20="No"),'AES Indiana Bill Calc.'!$D$19,-1)</f>
        <v>-1</v>
      </c>
      <c r="C569" s="103">
        <f>MAX(E569,$C$562)</f>
        <v>500</v>
      </c>
      <c r="D569" s="103" t="b">
        <f>IF(AND('AES Indiana Bill Calc.'!$D$17="PL",'AES Indiana Bill Calc.'!$D$18="Yes 100%",'AES Indiana Bill Calc.'!$D$20="No"),'AES Indiana Bill Calc.'!$D$22)</f>
        <v>0</v>
      </c>
      <c r="E569" s="103" t="b">
        <f>IF(AND('AES Indiana Bill Calc.'!$D$17="PL",'AES Indiana Bill Calc.'!$D$18="Yes 100%",'AES Indiana Bill Calc.'!$D$20="No"),'AES Indiana Bill Calc.'!$D$21)</f>
        <v>0</v>
      </c>
      <c r="F569" s="36" t="s">
        <v>62</v>
      </c>
      <c r="G569" s="42" t="e">
        <f>SUM(J569:M569,R569:AA569)</f>
        <v>#N/A</v>
      </c>
      <c r="H569" s="19" t="e">
        <f>IF(ISBLANK(B569),0,+#REF!/B569)</f>
        <v>#REF!</v>
      </c>
      <c r="I569" s="19"/>
      <c r="J569" s="109">
        <f>IF(ISBLANK(B569),0,+J$564)</f>
        <v>130</v>
      </c>
      <c r="K569" s="92">
        <f>ROUND($B569*K$564,2)</f>
        <v>-0.04</v>
      </c>
      <c r="L569" s="92">
        <f>IF($C569&gt;L$565,ROUND(L$565*L$564,2),ROUND($C569*L$564,2))</f>
        <v>14150</v>
      </c>
      <c r="M569" s="92">
        <f>IF($C569&gt;L$565,ROUND(($C569-L$565)*M$564,2),0)</f>
        <v>0</v>
      </c>
      <c r="N569" s="92">
        <f>K569</f>
        <v>-0.04</v>
      </c>
      <c r="O569" s="92"/>
      <c r="P569" s="92"/>
      <c r="Q569" s="92">
        <f>SUM(L569:M569)</f>
        <v>14150</v>
      </c>
      <c r="R569" s="110" t="e">
        <f>ROUND(SUM(K569:M569)*(R568-1),2)</f>
        <v>#N/A</v>
      </c>
      <c r="S569" s="92">
        <f>ROUND($B569*S$564*S568,2)</f>
        <v>0</v>
      </c>
      <c r="T569" s="92">
        <f t="shared" ref="T569:AA569" si="36">ROUND($B569*T$564,2)</f>
        <v>0.01</v>
      </c>
      <c r="U569" s="92">
        <f t="shared" si="36"/>
        <v>0</v>
      </c>
      <c r="V569" s="92">
        <f t="shared" si="36"/>
        <v>-0.01</v>
      </c>
      <c r="W569" s="92">
        <f t="shared" si="36"/>
        <v>0</v>
      </c>
      <c r="X569" s="92">
        <f t="shared" si="36"/>
        <v>0</v>
      </c>
      <c r="Y569" s="92">
        <f t="shared" si="36"/>
        <v>0</v>
      </c>
      <c r="Z569" s="92">
        <f t="shared" si="36"/>
        <v>0</v>
      </c>
      <c r="AA569" s="92">
        <f t="shared" si="36"/>
        <v>0</v>
      </c>
      <c r="AB569" s="19">
        <f>SUM(U564:AA564)</f>
        <v>7.894E-3</v>
      </c>
      <c r="AC569" s="105" t="str">
        <f>+F569</f>
        <v>PL</v>
      </c>
    </row>
    <row r="570" spans="1:29" ht="13" x14ac:dyDescent="0.3">
      <c r="A570" s="9"/>
      <c r="B570" s="103">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10" customHeight="1" x14ac:dyDescent="0.3">
      <c r="A571" s="1" t="s">
        <v>149</v>
      </c>
      <c r="B571" s="103">
        <f>IF(AND('AES Indiana Bill Calc.'!$D$17="PL",'AES Indiana Bill Calc.'!$D$18="Yes 50%",'AES Indiana Bill Calc.'!$D$20="No"),'AES Indiana Bill Calc.'!$D$19,-1)</f>
        <v>-1</v>
      </c>
      <c r="C571" s="103">
        <f>MAX(E571,$C$562)</f>
        <v>500</v>
      </c>
      <c r="D571" s="103" t="b">
        <f>IF(AND('AES Indiana Bill Calc.'!$D$17="PL",'AES Indiana Bill Calc.'!$D$18="Yes 50%",'AES Indiana Bill Calc.'!$D$20="No"),'AES Indiana Bill Calc.'!$D$22)</f>
        <v>0</v>
      </c>
      <c r="E571" s="103" t="b">
        <f>IF(AND('AES Indiana Bill Calc.'!$D$17="PL",'AES Indiana Bill Calc.'!$D$18="Yes 50%",'AES Indiana Bill Calc.'!$D$20="No"),'AES Indiana Bill Calc.'!$D$21)</f>
        <v>0</v>
      </c>
      <c r="F571" s="36" t="s">
        <v>62</v>
      </c>
      <c r="G571" s="42" t="e">
        <f>SUM(J571:M571,R571:AA571)</f>
        <v>#N/A</v>
      </c>
      <c r="H571" s="19" t="e">
        <f>IF(ISBLANK(B571),0,+#REF!/B571)</f>
        <v>#REF!</v>
      </c>
      <c r="I571" s="19"/>
      <c r="J571" s="109">
        <f>IF(ISBLANK(B571),0,+J$564)</f>
        <v>130</v>
      </c>
      <c r="K571" s="92">
        <f>ROUND($B571*K$564,2)</f>
        <v>-0.04</v>
      </c>
      <c r="L571" s="92">
        <f>IF($C571&gt;L$565,ROUND(L$565*L$564,2),ROUND($C571*L$564,2))</f>
        <v>14150</v>
      </c>
      <c r="M571" s="92">
        <f>IF($C571&gt;L$565,ROUND(($C571-L$565)*M$564,2),0)</f>
        <v>0</v>
      </c>
      <c r="N571" s="92">
        <f>K571</f>
        <v>-0.04</v>
      </c>
      <c r="O571" s="92"/>
      <c r="P571" s="92"/>
      <c r="Q571" s="92">
        <f>SUM(L571:M571)</f>
        <v>14150</v>
      </c>
      <c r="R571" s="110" t="e">
        <f>ROUND(SUM(K571:M571)*(R570-1),2)</f>
        <v>#N/A</v>
      </c>
      <c r="S571" s="92">
        <f>ROUND($B571*S$564*S570,2)</f>
        <v>0</v>
      </c>
      <c r="T571" s="92">
        <f t="shared" ref="T571:AA571" si="37">ROUND($B571*T$564,2)</f>
        <v>0.01</v>
      </c>
      <c r="U571" s="92">
        <f t="shared" si="37"/>
        <v>0</v>
      </c>
      <c r="V571" s="92">
        <f t="shared" si="37"/>
        <v>-0.01</v>
      </c>
      <c r="W571" s="92">
        <f t="shared" si="37"/>
        <v>0</v>
      </c>
      <c r="X571" s="92">
        <f t="shared" si="37"/>
        <v>0</v>
      </c>
      <c r="Y571" s="92">
        <f t="shared" si="37"/>
        <v>0</v>
      </c>
      <c r="Z571" s="92">
        <f t="shared" si="37"/>
        <v>0</v>
      </c>
      <c r="AA571" s="92">
        <f t="shared" si="37"/>
        <v>0</v>
      </c>
      <c r="AB571" s="19">
        <f>SUM(U566:AA566)</f>
        <v>133</v>
      </c>
      <c r="AC571" s="105" t="str">
        <f>+F571</f>
        <v>PL</v>
      </c>
    </row>
    <row r="572" spans="1:29" ht="13" x14ac:dyDescent="0.3">
      <c r="A572" s="9"/>
      <c r="B572" s="103">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ht="13" x14ac:dyDescent="0.3">
      <c r="A573" s="1" t="s">
        <v>150</v>
      </c>
      <c r="B573" s="103">
        <f>IF(AND('AES Indiana Bill Calc.'!$D$17="PL",'AES Indiana Bill Calc.'!$D$18="Yes 25%",'AES Indiana Bill Calc.'!$D$20="No"),'AES Indiana Bill Calc.'!$D$19,-1)</f>
        <v>-1</v>
      </c>
      <c r="C573" s="103">
        <f>MAX(E573,$C$562)</f>
        <v>500</v>
      </c>
      <c r="D573" s="103" t="b">
        <f>IF(AND('AES Indiana Bill Calc.'!$D$17="PL",'AES Indiana Bill Calc.'!$D$18="Yes 25%",'AES Indiana Bill Calc.'!$D$20="No"),'AES Indiana Bill Calc.'!$D$22)</f>
        <v>0</v>
      </c>
      <c r="E573" s="103" t="b">
        <f>IF(AND('AES Indiana Bill Calc.'!$D$17="PL",'AES Indiana Bill Calc.'!$D$18="Yes 25%",'AES Indiana Bill Calc.'!$D$20="No"),'AES Indiana Bill Calc.'!$D$21)</f>
        <v>0</v>
      </c>
      <c r="F573" s="36" t="s">
        <v>62</v>
      </c>
      <c r="G573" s="42" t="e">
        <f>SUM(J573:M573,R573:AA573)</f>
        <v>#N/A</v>
      </c>
      <c r="H573" s="19" t="e">
        <f>IF(ISBLANK(B573),0,+#REF!/B573)</f>
        <v>#REF!</v>
      </c>
      <c r="I573" s="19"/>
      <c r="J573" s="109">
        <f>IF(ISBLANK(B573),0,+J$564)</f>
        <v>130</v>
      </c>
      <c r="K573" s="92">
        <f>ROUND($B573*K$564,2)</f>
        <v>-0.04</v>
      </c>
      <c r="L573" s="92">
        <f>IF($C573&gt;L$565,ROUND(L$565*L$564,2),ROUND($C573*L$564,2))</f>
        <v>14150</v>
      </c>
      <c r="M573" s="92">
        <f>IF($C573&gt;L$565,ROUND(($C573-L$565)*M$564,2),0)</f>
        <v>0</v>
      </c>
      <c r="N573" s="92">
        <f>K573</f>
        <v>-0.04</v>
      </c>
      <c r="O573" s="92"/>
      <c r="P573" s="92"/>
      <c r="Q573" s="92">
        <f>SUM(L573:M573)</f>
        <v>14150</v>
      </c>
      <c r="R573" s="110" t="e">
        <f>ROUND(SUM(K573:M573)*(R572-1),2)</f>
        <v>#N/A</v>
      </c>
      <c r="S573" s="92">
        <f>ROUND($B573*S$564*S572,2)</f>
        <v>0</v>
      </c>
      <c r="T573" s="92">
        <f t="shared" ref="T573:AA573" si="38">ROUND($B573*T$564,2)</f>
        <v>0.01</v>
      </c>
      <c r="U573" s="92">
        <f t="shared" si="38"/>
        <v>0</v>
      </c>
      <c r="V573" s="92">
        <f t="shared" si="38"/>
        <v>-0.01</v>
      </c>
      <c r="W573" s="92">
        <f t="shared" si="38"/>
        <v>0</v>
      </c>
      <c r="X573" s="92">
        <f t="shared" si="38"/>
        <v>0</v>
      </c>
      <c r="Y573" s="92">
        <f t="shared" si="38"/>
        <v>0</v>
      </c>
      <c r="Z573" s="92">
        <f t="shared" si="38"/>
        <v>0</v>
      </c>
      <c r="AA573" s="92">
        <f t="shared" si="38"/>
        <v>0</v>
      </c>
      <c r="AB573" s="19">
        <f>SUM(U568:AA568)</f>
        <v>0</v>
      </c>
      <c r="AC573" s="105" t="str">
        <f>+F573</f>
        <v>PL</v>
      </c>
    </row>
    <row r="574" spans="1:29" ht="13" x14ac:dyDescent="0.3">
      <c r="A574" s="9"/>
      <c r="B574" s="103">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ht="13" x14ac:dyDescent="0.3">
      <c r="A575" s="1" t="s">
        <v>164</v>
      </c>
      <c r="B575" s="103">
        <f>IF(AND('AES Indiana Bill Calc.'!$D$17="PL",'AES Indiana Bill Calc.'!$D$18="Yes 10%",'AES Indiana Bill Calc.'!$D$20="No"),'AES Indiana Bill Calc.'!$D$19,-1)</f>
        <v>-1</v>
      </c>
      <c r="C575" s="103">
        <f>MAX(E575,$C$562)</f>
        <v>500</v>
      </c>
      <c r="D575" s="103" t="b">
        <f>IF(AND('AES Indiana Bill Calc.'!$D$17="PL",'AES Indiana Bill Calc.'!$D$18="Yes 10%",'AES Indiana Bill Calc.'!$D$20="No"),'AES Indiana Bill Calc.'!$D$22)</f>
        <v>0</v>
      </c>
      <c r="E575" s="103" t="b">
        <f>IF(AND('AES Indiana Bill Calc.'!$D$17="PL",'AES Indiana Bill Calc.'!$D$18="Yes 10%",'AES Indiana Bill Calc.'!$D$20="No"),'AES Indiana Bill Calc.'!$D$21)</f>
        <v>0</v>
      </c>
      <c r="F575" s="36" t="s">
        <v>62</v>
      </c>
      <c r="G575" s="42" t="e">
        <f>SUM(J575:M575,R575:AA575)</f>
        <v>#N/A</v>
      </c>
      <c r="H575" s="19" t="e">
        <f>IF(ISBLANK(B575),0,+#REF!/B575)</f>
        <v>#REF!</v>
      </c>
      <c r="I575" s="19"/>
      <c r="J575" s="109">
        <f>IF(ISBLANK(B575),0,+J$564)</f>
        <v>130</v>
      </c>
      <c r="K575" s="92">
        <f>ROUND($B575*K$564,2)</f>
        <v>-0.04</v>
      </c>
      <c r="L575" s="92">
        <f>IF($C575&gt;L$565,ROUND(L$565*L$564,2),ROUND($C575*L$564,2))</f>
        <v>14150</v>
      </c>
      <c r="M575" s="92">
        <f>IF($C575&gt;L$565,ROUND(($C575-L$565)*M$564,2),0)</f>
        <v>0</v>
      </c>
      <c r="N575" s="92">
        <f>K575</f>
        <v>-0.04</v>
      </c>
      <c r="O575" s="92"/>
      <c r="P575" s="92"/>
      <c r="Q575" s="92">
        <f>SUM(L575:M575)</f>
        <v>14150</v>
      </c>
      <c r="R575" s="110" t="e">
        <f>ROUND(SUM(K575:M575)*(R574-1),2)</f>
        <v>#N/A</v>
      </c>
      <c r="S575" s="92">
        <f>ROUND($B575*S$564*S574,2)</f>
        <v>0</v>
      </c>
      <c r="T575" s="92">
        <f t="shared" ref="T575:AA575" si="39">ROUND($B575*T$564,2)</f>
        <v>0.01</v>
      </c>
      <c r="U575" s="92">
        <f t="shared" si="39"/>
        <v>0</v>
      </c>
      <c r="V575" s="92">
        <f t="shared" si="39"/>
        <v>-0.01</v>
      </c>
      <c r="W575" s="92">
        <f t="shared" si="39"/>
        <v>0</v>
      </c>
      <c r="X575" s="92">
        <f t="shared" si="39"/>
        <v>0</v>
      </c>
      <c r="Y575" s="92">
        <f t="shared" si="39"/>
        <v>0</v>
      </c>
      <c r="Z575" s="92">
        <f t="shared" si="39"/>
        <v>0</v>
      </c>
      <c r="AA575" s="92">
        <f t="shared" si="39"/>
        <v>0</v>
      </c>
      <c r="AB575" s="19">
        <f>SUM(U570:AA570)</f>
        <v>0</v>
      </c>
      <c r="AC575" s="105" t="str">
        <f>+F575</f>
        <v>PL</v>
      </c>
    </row>
    <row r="576" spans="1:29" ht="13" x14ac:dyDescent="0.3">
      <c r="A576" s="9"/>
      <c r="B576" s="103">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ht="13" x14ac:dyDescent="0.3">
      <c r="A577" s="1" t="s">
        <v>147</v>
      </c>
      <c r="B577" s="103">
        <f>IF(AND('AES Indiana Bill Calc.'!$D$17="PL",'AES Indiana Bill Calc.'!$D$18="No",'AES Indiana Bill Calc.'!$D$20="No"),'AES Indiana Bill Calc.'!$D$19,-1)</f>
        <v>-1</v>
      </c>
      <c r="C577" s="103">
        <f>MAX(E577,$C$562)</f>
        <v>500</v>
      </c>
      <c r="D577" s="103" t="b">
        <f>IF(AND('AES Indiana Bill Calc.'!$D$17="PL",'AES Indiana Bill Calc.'!$D$18="No",'AES Indiana Bill Calc.'!$D$20="No"),'AES Indiana Bill Calc.'!$D$22)</f>
        <v>0</v>
      </c>
      <c r="E577" s="103" t="b">
        <f>IF(AND('AES Indiana Bill Calc.'!$D$17="PL",'AES Indiana Bill Calc.'!$D$18="No",'AES Indiana Bill Calc.'!$D$20="No"),'AES Indiana Bill Calc.'!$D$21)</f>
        <v>0</v>
      </c>
      <c r="F577" s="36" t="s">
        <v>62</v>
      </c>
      <c r="G577" s="42" t="e">
        <f>SUM(J577:M577,R577:AA577)</f>
        <v>#N/A</v>
      </c>
      <c r="H577" s="19" t="e">
        <f>IF(ISBLANK(B577),0,+#REF!/B577)</f>
        <v>#REF!</v>
      </c>
      <c r="I577" s="19"/>
      <c r="J577" s="109">
        <f>IF(ISBLANK(B577),0,+J$564)</f>
        <v>130</v>
      </c>
      <c r="K577" s="92">
        <f>ROUND($B577*K$564,2)</f>
        <v>-0.04</v>
      </c>
      <c r="L577" s="92">
        <f>IF($C577&gt;L$565,ROUND(L$565*L$564,2),ROUND($C577*L$564,2))</f>
        <v>14150</v>
      </c>
      <c r="M577" s="92">
        <f>IF($C577&gt;L$565,ROUND(($C577-L$565)*M$564,2),0)</f>
        <v>0</v>
      </c>
      <c r="N577" s="92">
        <f>K577</f>
        <v>-0.04</v>
      </c>
      <c r="O577" s="92"/>
      <c r="P577" s="92"/>
      <c r="Q577" s="92">
        <f>SUM(L577:M577)</f>
        <v>14150</v>
      </c>
      <c r="R577" s="110" t="e">
        <f>ROUND(SUM(K577:M577)*(R576-1),2)</f>
        <v>#N/A</v>
      </c>
      <c r="S577" s="92">
        <f>ROUND($B577*S$564*S576,2)</f>
        <v>0</v>
      </c>
      <c r="T577" s="92">
        <f t="shared" ref="T577:AA577" si="40">ROUND($B577*T$564,2)</f>
        <v>0.01</v>
      </c>
      <c r="U577" s="92">
        <f t="shared" si="40"/>
        <v>0</v>
      </c>
      <c r="V577" s="92">
        <f t="shared" si="40"/>
        <v>-0.01</v>
      </c>
      <c r="W577" s="92">
        <f t="shared" si="40"/>
        <v>0</v>
      </c>
      <c r="X577" s="92">
        <f t="shared" si="40"/>
        <v>0</v>
      </c>
      <c r="Y577" s="92">
        <f t="shared" si="40"/>
        <v>0</v>
      </c>
      <c r="Z577" s="92">
        <f t="shared" si="40"/>
        <v>0</v>
      </c>
      <c r="AA577" s="92">
        <f t="shared" si="40"/>
        <v>0</v>
      </c>
      <c r="AB577" s="19">
        <f>SUM(U572:AA572)</f>
        <v>0</v>
      </c>
      <c r="AC577" s="105" t="str">
        <f>+F577</f>
        <v>PL</v>
      </c>
    </row>
    <row r="578" spans="1:29" ht="13" x14ac:dyDescent="0.3">
      <c r="A578" s="9"/>
      <c r="B578" s="103">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ht="13" x14ac:dyDescent="0.3">
      <c r="A579" s="1" t="s">
        <v>148</v>
      </c>
      <c r="B579" s="103">
        <f>IF(AND('AES Indiana Bill Calc.'!$D$17="PL",'AES Indiana Bill Calc.'!$D$18="Yes 100%",'AES Indiana Bill Calc.'!$D$20="Yes Before 2018"),'AES Indiana Bill Calc.'!$D$19,-1)</f>
        <v>-1</v>
      </c>
      <c r="C579" s="103">
        <f>MAX(E579,$C$562)</f>
        <v>500</v>
      </c>
      <c r="D579" s="103" t="b">
        <f>IF(AND('AES Indiana Bill Calc.'!$D$17="PL",'AES Indiana Bill Calc.'!$D$18="Yes 100%",'AES Indiana Bill Calc.'!$D$20="Yes Before 2018"),'AES Indiana Bill Calc.'!$D$22)</f>
        <v>0</v>
      </c>
      <c r="E579" s="103" t="b">
        <f>IF(AND('AES Indiana Bill Calc.'!$D$17="PL",'AES Indiana Bill Calc.'!$D$18="Yes 100%",'AES Indiana Bill Calc.'!$D$20="Yes Before 2018"),'AES Indiana Bill Calc.'!$D$21)</f>
        <v>0</v>
      </c>
      <c r="F579" s="36" t="s">
        <v>213</v>
      </c>
      <c r="G579" s="42" t="e">
        <f>SUM(J579:M579,R579:AA579)</f>
        <v>#N/A</v>
      </c>
      <c r="H579" s="19" t="e">
        <f>IF(ISBLANK(B579),0,+#REF!/B579)</f>
        <v>#REF!</v>
      </c>
      <c r="I579" s="19"/>
      <c r="J579" s="109">
        <f>IF(ISBLANK(B579),0,+J$564)</f>
        <v>130</v>
      </c>
      <c r="K579" s="92">
        <f>ROUND($B579*K$564,2)</f>
        <v>-0.04</v>
      </c>
      <c r="L579" s="92">
        <f>IF($C579&gt;L$565,ROUND(L$565*L$564,2),ROUND($C579*L$564,2))</f>
        <v>14150</v>
      </c>
      <c r="M579" s="92">
        <f>IF($C579&gt;L$565,ROUND(($C579-L$565)*M$564,2),0)</f>
        <v>0</v>
      </c>
      <c r="N579" s="92">
        <f>K579</f>
        <v>-0.04</v>
      </c>
      <c r="O579" s="92"/>
      <c r="P579" s="92"/>
      <c r="Q579" s="92">
        <f>SUM(L579:M579)</f>
        <v>14150</v>
      </c>
      <c r="R579" s="110" t="e">
        <f>ROUND(SUM(K579:M579)*(R578-1),2)</f>
        <v>#N/A</v>
      </c>
      <c r="S579" s="92">
        <f>ROUND($B579*S$564*S578,2)</f>
        <v>0</v>
      </c>
      <c r="T579" s="92">
        <f>ROUND($B579*T$564,2)</f>
        <v>0.01</v>
      </c>
      <c r="U579" s="92">
        <f>ROUND($B579*U$564,2)</f>
        <v>0</v>
      </c>
      <c r="V579" s="92">
        <f>ROUND($B579*V$556,2)</f>
        <v>0</v>
      </c>
      <c r="W579" s="92">
        <f>ROUND($B579*W$564,2)</f>
        <v>0</v>
      </c>
      <c r="X579" s="92">
        <f>ROUND($B579*X$564,2)</f>
        <v>0</v>
      </c>
      <c r="Y579" s="92">
        <f>ROUND($B579*Y$564,2)</f>
        <v>0</v>
      </c>
      <c r="Z579" s="92">
        <f>ROUND($B579*Z$564,2)</f>
        <v>0</v>
      </c>
      <c r="AA579" s="92">
        <f>ROUND($B579*AA$564,2)</f>
        <v>0</v>
      </c>
      <c r="AB579" s="19">
        <f>SUM(U574:AA574)</f>
        <v>0</v>
      </c>
      <c r="AC579" s="105" t="str">
        <f>+F579</f>
        <v>PL7</v>
      </c>
    </row>
    <row r="580" spans="1:29" ht="13" x14ac:dyDescent="0.3">
      <c r="A580" s="9"/>
      <c r="B580" s="103">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ht="13" x14ac:dyDescent="0.3">
      <c r="A581" s="1" t="s">
        <v>149</v>
      </c>
      <c r="B581" s="103">
        <f>IF(AND('AES Indiana Bill Calc.'!$D$17="PL",'AES Indiana Bill Calc.'!$D$18="Yes 50%",'AES Indiana Bill Calc.'!$D$20="Yes Before 2018"),'AES Indiana Bill Calc.'!$D$19,-1)</f>
        <v>-1</v>
      </c>
      <c r="C581" s="103">
        <f>MAX(E581,$C$562)</f>
        <v>500</v>
      </c>
      <c r="D581" s="103" t="b">
        <f>IF(AND('AES Indiana Bill Calc.'!$D$17="PL",'AES Indiana Bill Calc.'!$D$18="Yes 50%",'AES Indiana Bill Calc.'!$D$20="Yes Before 2018"),'AES Indiana Bill Calc.'!$D$22)</f>
        <v>0</v>
      </c>
      <c r="E581" s="103" t="b">
        <f>IF(AND('AES Indiana Bill Calc.'!$D$17="PL",'AES Indiana Bill Calc.'!$D$18="Yes 50%",'AES Indiana Bill Calc.'!$D$20="Yes Before 2018"),'AES Indiana Bill Calc.'!$D$21)</f>
        <v>0</v>
      </c>
      <c r="F581" s="36" t="s">
        <v>213</v>
      </c>
      <c r="G581" s="42" t="e">
        <f>SUM(J581:M581,R581:AA581)</f>
        <v>#N/A</v>
      </c>
      <c r="H581" s="19" t="e">
        <f>IF(ISBLANK(B581),0,+#REF!/B581)</f>
        <v>#REF!</v>
      </c>
      <c r="I581" s="19"/>
      <c r="J581" s="109">
        <f>IF(ISBLANK(B581),0,+J$564)</f>
        <v>130</v>
      </c>
      <c r="K581" s="92">
        <f>ROUND($B581*K$564,2)</f>
        <v>-0.04</v>
      </c>
      <c r="L581" s="92">
        <f>IF($C581&gt;L$565,ROUND(L$565*L$564,2),ROUND($C581*L$564,2))</f>
        <v>14150</v>
      </c>
      <c r="M581" s="92">
        <f>IF($C581&gt;L$565,ROUND(($C581-L$565)*M$564,2),0)</f>
        <v>0</v>
      </c>
      <c r="N581" s="92">
        <f>K581</f>
        <v>-0.04</v>
      </c>
      <c r="O581" s="92"/>
      <c r="P581" s="92"/>
      <c r="Q581" s="92">
        <f>SUM(L581:M581)</f>
        <v>14150</v>
      </c>
      <c r="R581" s="110" t="e">
        <f>ROUND(SUM(K581:M581)*(R580-1),2)</f>
        <v>#N/A</v>
      </c>
      <c r="S581" s="92">
        <f>ROUND($B581*S$564*S580,2)</f>
        <v>0</v>
      </c>
      <c r="T581" s="92">
        <f>ROUND($B581*T$564,2)</f>
        <v>0.01</v>
      </c>
      <c r="U581" s="92">
        <f>ROUND($B581*U$564,2)</f>
        <v>0</v>
      </c>
      <c r="V581" s="92">
        <f>ROUND($B581*V$556,2)</f>
        <v>0</v>
      </c>
      <c r="W581" s="92">
        <f>ROUND($B581*W$564,2)</f>
        <v>0</v>
      </c>
      <c r="X581" s="92">
        <f>ROUND($B581*X$564,2)</f>
        <v>0</v>
      </c>
      <c r="Y581" s="92">
        <f>ROUND($B581*Y$564,2)</f>
        <v>0</v>
      </c>
      <c r="Z581" s="92">
        <f>ROUND($B581*Z$564,2)</f>
        <v>0</v>
      </c>
      <c r="AA581" s="92">
        <f>ROUND($B581*AA$564,2)</f>
        <v>0</v>
      </c>
      <c r="AB581" s="19">
        <f>SUM(U576:AA576)</f>
        <v>0</v>
      </c>
      <c r="AC581" s="105" t="str">
        <f>+F581</f>
        <v>PL7</v>
      </c>
    </row>
    <row r="582" spans="1:29" ht="13" x14ac:dyDescent="0.3">
      <c r="A582" s="9"/>
      <c r="B582" s="103">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ht="13" x14ac:dyDescent="0.3">
      <c r="A583" s="1" t="s">
        <v>150</v>
      </c>
      <c r="B583" s="103">
        <f>IF(AND('AES Indiana Bill Calc.'!$D$17="PL",'AES Indiana Bill Calc.'!$D$18="Yes 25%",'AES Indiana Bill Calc.'!$D$20="Yes Before 2018"),'AES Indiana Bill Calc.'!$D$19,-1)</f>
        <v>-1</v>
      </c>
      <c r="C583" s="103">
        <f>MAX(E583,$C$562)</f>
        <v>500</v>
      </c>
      <c r="D583" s="103" t="b">
        <f>IF(AND('AES Indiana Bill Calc.'!$D$17="PL",'AES Indiana Bill Calc.'!$D$18="Yes 25%",'AES Indiana Bill Calc.'!$D$20="Yes Before 2018"),'AES Indiana Bill Calc.'!$D$22)</f>
        <v>0</v>
      </c>
      <c r="E583" s="103" t="b">
        <f>IF(AND('AES Indiana Bill Calc.'!$D$17="PL",'AES Indiana Bill Calc.'!$D$18="Yes 25%",'AES Indiana Bill Calc.'!$D$20="Yes Before 2018"),'AES Indiana Bill Calc.'!$D$21)</f>
        <v>0</v>
      </c>
      <c r="F583" s="36" t="s">
        <v>213</v>
      </c>
      <c r="G583" s="42" t="e">
        <f>SUM(J583:M583,R583:AA583)</f>
        <v>#N/A</v>
      </c>
      <c r="H583" s="19" t="e">
        <f>IF(ISBLANK(B583),0,+#REF!/B583)</f>
        <v>#REF!</v>
      </c>
      <c r="I583" s="19"/>
      <c r="J583" s="109">
        <f>IF(ISBLANK(B583),0,+J$564)</f>
        <v>130</v>
      </c>
      <c r="K583" s="92">
        <f>ROUND($B583*K$564,2)</f>
        <v>-0.04</v>
      </c>
      <c r="L583" s="92">
        <f>IF($C583&gt;L$565,ROUND(L$565*L$564,2),ROUND($C583*L$564,2))</f>
        <v>14150</v>
      </c>
      <c r="M583" s="92">
        <f>IF($C583&gt;L$565,ROUND(($C583-L$565)*M$564,2),0)</f>
        <v>0</v>
      </c>
      <c r="N583" s="92">
        <f>K583</f>
        <v>-0.04</v>
      </c>
      <c r="O583" s="92"/>
      <c r="P583" s="92"/>
      <c r="Q583" s="92">
        <f>SUM(L583:M583)</f>
        <v>14150</v>
      </c>
      <c r="R583" s="110" t="e">
        <f>ROUND(SUM(K583:M583)*(R582-1),2)</f>
        <v>#N/A</v>
      </c>
      <c r="S583" s="92">
        <f>ROUND($B583*S$564*S582,2)</f>
        <v>0</v>
      </c>
      <c r="T583" s="92">
        <f>ROUND($B583*T$564,2)</f>
        <v>0.01</v>
      </c>
      <c r="U583" s="92">
        <f>ROUND($B583*U$564,2)</f>
        <v>0</v>
      </c>
      <c r="V583" s="92">
        <f>ROUND($B583*V$556,2)</f>
        <v>0</v>
      </c>
      <c r="W583" s="92">
        <f>ROUND($B583*W$564,2)</f>
        <v>0</v>
      </c>
      <c r="X583" s="92">
        <f>ROUND($B583*X$564,2)</f>
        <v>0</v>
      </c>
      <c r="Y583" s="92">
        <f>ROUND($B583*Y$564,2)</f>
        <v>0</v>
      </c>
      <c r="Z583" s="92">
        <f>ROUND($B583*Z$564,2)</f>
        <v>0</v>
      </c>
      <c r="AA583" s="92">
        <f>ROUND($B583*AA$564,2)</f>
        <v>0</v>
      </c>
      <c r="AB583" s="19">
        <f>SUM(U578:AA578)</f>
        <v>0</v>
      </c>
      <c r="AC583" s="105" t="str">
        <f>+F583</f>
        <v>PL7</v>
      </c>
    </row>
    <row r="584" spans="1:29" ht="13" x14ac:dyDescent="0.3">
      <c r="A584" s="9"/>
      <c r="B584" s="103">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ht="13" x14ac:dyDescent="0.3">
      <c r="A585" s="1" t="s">
        <v>164</v>
      </c>
      <c r="B585" s="103">
        <f>IF(AND('AES Indiana Bill Calc.'!$D$17="PL",'AES Indiana Bill Calc.'!$D$18="Yes 10%",'AES Indiana Bill Calc.'!$D$20="Yes Before 2018"),'AES Indiana Bill Calc.'!$D$19,-1)</f>
        <v>-1</v>
      </c>
      <c r="C585" s="103">
        <f>MAX(E585,$C$562)</f>
        <v>500</v>
      </c>
      <c r="D585" s="103" t="b">
        <f>IF(AND('AES Indiana Bill Calc.'!$D$17="PL",'AES Indiana Bill Calc.'!$D$18="Yes 10%",'AES Indiana Bill Calc.'!$D$20="Yes Before 2018"),'AES Indiana Bill Calc.'!$D$22)</f>
        <v>0</v>
      </c>
      <c r="E585" s="103" t="b">
        <f>IF(AND('AES Indiana Bill Calc.'!$D$17="PL",'AES Indiana Bill Calc.'!$D$18="Yes 10%",'AES Indiana Bill Calc.'!$D$20="Yes Before 2018"),'AES Indiana Bill Calc.'!$D$21)</f>
        <v>0</v>
      </c>
      <c r="F585" s="36" t="s">
        <v>213</v>
      </c>
      <c r="G585" s="42" t="e">
        <f>SUM(J585:M585,R585:AA585)</f>
        <v>#N/A</v>
      </c>
      <c r="H585" s="19" t="e">
        <f>IF(ISBLANK(B585),0,+#REF!/B585)</f>
        <v>#REF!</v>
      </c>
      <c r="I585" s="19"/>
      <c r="J585" s="109">
        <f>IF(ISBLANK(B585),0,+J$564)</f>
        <v>130</v>
      </c>
      <c r="K585" s="92">
        <f>ROUND($B585*K$564,2)</f>
        <v>-0.04</v>
      </c>
      <c r="L585" s="92">
        <f>IF($C585&gt;L$565,ROUND(L$565*L$564,2),ROUND($C585*L$564,2))</f>
        <v>14150</v>
      </c>
      <c r="M585" s="92">
        <f>IF($C585&gt;L$565,ROUND(($C585-L$565)*M$564,2),0)</f>
        <v>0</v>
      </c>
      <c r="N585" s="92">
        <f>K585</f>
        <v>-0.04</v>
      </c>
      <c r="O585" s="92"/>
      <c r="P585" s="92"/>
      <c r="Q585" s="92">
        <f>SUM(L585:M585)</f>
        <v>14150</v>
      </c>
      <c r="R585" s="110" t="e">
        <f>ROUND(SUM(K585:M585)*(R584-1),2)</f>
        <v>#N/A</v>
      </c>
      <c r="S585" s="92">
        <f>ROUND($B585*S$564*S584,2)</f>
        <v>0</v>
      </c>
      <c r="T585" s="92">
        <f>ROUND($B585*T$564,2)</f>
        <v>0.01</v>
      </c>
      <c r="U585" s="92">
        <f>ROUND($B585*U$564,2)</f>
        <v>0</v>
      </c>
      <c r="V585" s="92">
        <f>ROUND($B585*V$556,2)</f>
        <v>0</v>
      </c>
      <c r="W585" s="92">
        <f>ROUND($B585*W$564,2)</f>
        <v>0</v>
      </c>
      <c r="X585" s="92">
        <f>ROUND($B585*X$564,2)</f>
        <v>0</v>
      </c>
      <c r="Y585" s="92">
        <f>ROUND($B585*Y$564,2)</f>
        <v>0</v>
      </c>
      <c r="Z585" s="92">
        <f>ROUND($B585*Z$564,2)</f>
        <v>0</v>
      </c>
      <c r="AA585" s="92">
        <f>ROUND($B585*AA$564,2)</f>
        <v>0</v>
      </c>
      <c r="AB585" s="19">
        <f>SUM(U580:AA580)</f>
        <v>0</v>
      </c>
      <c r="AC585" s="105" t="str">
        <f>+F585</f>
        <v>PL7</v>
      </c>
    </row>
    <row r="586" spans="1:29" ht="13" x14ac:dyDescent="0.3">
      <c r="A586" s="9"/>
      <c r="B586" s="103">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ht="13" x14ac:dyDescent="0.3">
      <c r="A587" s="1" t="s">
        <v>147</v>
      </c>
      <c r="B587" s="103">
        <f>IF(AND('AES Indiana Bill Calc.'!$D$17="PL",'AES Indiana Bill Calc.'!$D$18="No",'AES Indiana Bill Calc.'!$D$20="Yes Before 2018"),'AES Indiana Bill Calc.'!$D$19,-1)</f>
        <v>-1</v>
      </c>
      <c r="C587" s="103">
        <f>MAX(E587,$C$562)</f>
        <v>500</v>
      </c>
      <c r="D587" s="103" t="b">
        <f>IF(AND('AES Indiana Bill Calc.'!$D$17="PL",'AES Indiana Bill Calc.'!$D$18="No",'AES Indiana Bill Calc.'!$D$20="Yes Before 2018"),'AES Indiana Bill Calc.'!$D$22)</f>
        <v>0</v>
      </c>
      <c r="E587" s="103" t="b">
        <f>IF(AND('AES Indiana Bill Calc.'!$D$17="PL",'AES Indiana Bill Calc.'!$D$18="No",'AES Indiana Bill Calc.'!$D$20="Yes Before 2018"),'AES Indiana Bill Calc.'!$D$21)</f>
        <v>0</v>
      </c>
      <c r="F587" s="36" t="s">
        <v>213</v>
      </c>
      <c r="G587" s="42" t="e">
        <f>SUM(J587:M587,R587:AA587)</f>
        <v>#N/A</v>
      </c>
      <c r="H587" s="19" t="e">
        <f>IF(ISBLANK(B587),0,+#REF!/B587)</f>
        <v>#REF!</v>
      </c>
      <c r="I587" s="19"/>
      <c r="J587" s="109">
        <f>IF(ISBLANK(B587),0,+J$564)</f>
        <v>130</v>
      </c>
      <c r="K587" s="92">
        <f>ROUND($B587*K$564,2)</f>
        <v>-0.04</v>
      </c>
      <c r="L587" s="92">
        <f>IF($C587&gt;L$565,ROUND(L$565*L$564,2),ROUND($C587*L$564,2))</f>
        <v>14150</v>
      </c>
      <c r="M587" s="92">
        <f>IF($C587&gt;L$565,ROUND(($C587-L$565)*M$564,2),0)</f>
        <v>0</v>
      </c>
      <c r="N587" s="92">
        <f>K587</f>
        <v>-0.04</v>
      </c>
      <c r="O587" s="92"/>
      <c r="P587" s="92"/>
      <c r="Q587" s="92">
        <f>SUM(L587:M587)</f>
        <v>14150</v>
      </c>
      <c r="R587" s="110" t="e">
        <f>ROUND(SUM(K587:M587)*(R586-1),2)</f>
        <v>#N/A</v>
      </c>
      <c r="S587" s="92">
        <f>ROUND($B587*S$564*S586,2)</f>
        <v>0</v>
      </c>
      <c r="T587" s="92">
        <f>ROUND($B587*T$564,2)</f>
        <v>0.01</v>
      </c>
      <c r="U587" s="92">
        <f>ROUND($B587*U$564,2)</f>
        <v>0</v>
      </c>
      <c r="V587" s="92">
        <f>ROUND($B587*V$556,2)</f>
        <v>0</v>
      </c>
      <c r="W587" s="92">
        <f>ROUND($B587*W$564,2)</f>
        <v>0</v>
      </c>
      <c r="X587" s="92">
        <f>ROUND($B587*X$564,2)</f>
        <v>0</v>
      </c>
      <c r="Y587" s="92">
        <f>ROUND($B587*Y$564,2)</f>
        <v>0</v>
      </c>
      <c r="Z587" s="92">
        <f>ROUND($B587*Z$564,2)</f>
        <v>0</v>
      </c>
      <c r="AA587" s="92">
        <f>ROUND($B587*AA$564,2)</f>
        <v>0</v>
      </c>
      <c r="AB587" s="19">
        <f>SUM(U582:AA582)</f>
        <v>0</v>
      </c>
      <c r="AC587" s="105" t="str">
        <f>+F587</f>
        <v>PL7</v>
      </c>
    </row>
    <row r="588" spans="1:29" ht="13.5" customHeight="1" x14ac:dyDescent="0.3">
      <c r="B588" s="103">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ht="13" x14ac:dyDescent="0.3">
      <c r="A589" s="1" t="s">
        <v>148</v>
      </c>
      <c r="B589" s="103">
        <f>IF(AND('AES Indiana Bill Calc.'!$D$17="PL",'AES Indiana Bill Calc.'!$D$18="Yes 100%",'AES Indiana Bill Calc.'!$D$20="Yes 2018"),'AES Indiana Bill Calc.'!$D$19,-1)</f>
        <v>-1</v>
      </c>
      <c r="C589" s="103">
        <f>MAX(E589,$C$562)</f>
        <v>500</v>
      </c>
      <c r="D589" s="103" t="b">
        <f>IF(AND('AES Indiana Bill Calc.'!$D$17="PL",'AES Indiana Bill Calc.'!$D$18="Yes 100%",'AES Indiana Bill Calc.'!$D$20="Yes 2018"),'AES Indiana Bill Calc.'!$D$22)</f>
        <v>0</v>
      </c>
      <c r="E589" s="103" t="b">
        <f>IF(AND('AES Indiana Bill Calc.'!$D$17="PL",'AES Indiana Bill Calc.'!$D$18="Yes 100%",'AES Indiana Bill Calc.'!$D$20="Yes 2018"),'AES Indiana Bill Calc.'!$D$21)</f>
        <v>0</v>
      </c>
      <c r="F589" s="36" t="s">
        <v>214</v>
      </c>
      <c r="G589" s="42" t="e">
        <f>SUM(J589:M589,R589:AA589)</f>
        <v>#N/A</v>
      </c>
      <c r="H589" s="19" t="e">
        <f>IF(ISBLANK(B589),0,+#REF!/B589)</f>
        <v>#REF!</v>
      </c>
      <c r="I589" s="19"/>
      <c r="J589" s="88">
        <f>IF(ISBLANK(B589),0,+J$564)</f>
        <v>130</v>
      </c>
      <c r="K589" s="42">
        <f>ROUND($B589*K$564,2)</f>
        <v>-0.04</v>
      </c>
      <c r="L589" s="92">
        <f>IF($C589&gt;L$565,ROUND(L$565*L$564,2),ROUND($C589*L$564,2))</f>
        <v>14150</v>
      </c>
      <c r="M589" s="92">
        <f>IF($C589&gt;L$565,ROUND(($C589-L$565)*M$564,2),0)</f>
        <v>0</v>
      </c>
      <c r="N589" s="92">
        <f>K589</f>
        <v>-0.04</v>
      </c>
      <c r="O589" s="42"/>
      <c r="P589" s="42"/>
      <c r="Q589" s="92">
        <f>SUM(L589:M589)</f>
        <v>14150</v>
      </c>
      <c r="R589" s="82" t="e">
        <f>ROUND(SUM(K589:M589)*(R588-1),2)</f>
        <v>#N/A</v>
      </c>
      <c r="S589" s="42">
        <f>ROUND($B589*S$564*S588,2)</f>
        <v>0</v>
      </c>
      <c r="T589" s="42">
        <f>ROUND($B589*T$564,2)</f>
        <v>0.01</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2.3259999999999999E-3</v>
      </c>
      <c r="AC589" s="94" t="str">
        <f>+F589</f>
        <v>PL8</v>
      </c>
    </row>
    <row r="590" spans="1:29" ht="13" x14ac:dyDescent="0.3">
      <c r="A590" s="9"/>
      <c r="B590" s="103">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ht="13" x14ac:dyDescent="0.3">
      <c r="A591" s="1" t="s">
        <v>149</v>
      </c>
      <c r="B591" s="103">
        <f>IF(AND('AES Indiana Bill Calc.'!$D$17="PL",'AES Indiana Bill Calc.'!$D$18="Yes 50%",'AES Indiana Bill Calc.'!$D$20="Yes 2018"),'AES Indiana Bill Calc.'!$D$19,-1)</f>
        <v>-1</v>
      </c>
      <c r="C591" s="103">
        <f>MAX(E591,$C$562)</f>
        <v>500</v>
      </c>
      <c r="D591" s="103" t="b">
        <f>IF(AND('AES Indiana Bill Calc.'!$D$17="PL",'AES Indiana Bill Calc.'!$D$18="Yes 50%",'AES Indiana Bill Calc.'!$D$20="Yes 2018"),'AES Indiana Bill Calc.'!$D$22)</f>
        <v>0</v>
      </c>
      <c r="E591" s="103" t="b">
        <f>IF(AND('AES Indiana Bill Calc.'!$D$17="PL",'AES Indiana Bill Calc.'!$D$18="Yes 50%",'AES Indiana Bill Calc.'!$D$20="Yes 2018"),'AES Indiana Bill Calc.'!$D$21)</f>
        <v>0</v>
      </c>
      <c r="F591" s="36" t="s">
        <v>214</v>
      </c>
      <c r="G591" s="42" t="e">
        <f>SUM(J591:M591,R591:AA591)</f>
        <v>#N/A</v>
      </c>
      <c r="H591" s="19" t="e">
        <f>IF(ISBLANK(B591),0,+#REF!/B591)</f>
        <v>#REF!</v>
      </c>
      <c r="I591" s="19"/>
      <c r="J591" s="88">
        <f>IF(ISBLANK(B591),0,+J$564)</f>
        <v>130</v>
      </c>
      <c r="K591" s="42">
        <f>ROUND($B591*K$564,2)</f>
        <v>-0.04</v>
      </c>
      <c r="L591" s="92">
        <f>IF($C591&gt;L$565,ROUND(L$565*L$564,2),ROUND($C591*L$564,2))</f>
        <v>14150</v>
      </c>
      <c r="M591" s="92">
        <f>IF($C591&gt;L$565,ROUND(($C591-L$565)*M$564,2),0)</f>
        <v>0</v>
      </c>
      <c r="N591" s="92">
        <f>K591</f>
        <v>-0.04</v>
      </c>
      <c r="O591" s="42"/>
      <c r="P591" s="42"/>
      <c r="Q591" s="92">
        <f>SUM(L591:M591)</f>
        <v>14150</v>
      </c>
      <c r="R591" s="82" t="e">
        <f>ROUND(SUM(K591:M591)*(R590-1),2)</f>
        <v>#N/A</v>
      </c>
      <c r="S591" s="42">
        <f>ROUND($B591*S$564*S590,2)</f>
        <v>0</v>
      </c>
      <c r="T591" s="42">
        <f>ROUND($B591*T$564,2)</f>
        <v>0.01</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2.8309999999999993E-3</v>
      </c>
      <c r="AC591" s="94" t="str">
        <f>+F591</f>
        <v>PL8</v>
      </c>
    </row>
    <row r="592" spans="1:29" ht="13" x14ac:dyDescent="0.3">
      <c r="A592" s="9"/>
      <c r="B592" s="103">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ht="13" x14ac:dyDescent="0.3">
      <c r="A593" s="1" t="s">
        <v>150</v>
      </c>
      <c r="B593" s="103">
        <f>IF(AND('AES Indiana Bill Calc.'!$D$17="PL",'AES Indiana Bill Calc.'!$D$18="Yes 25%",'AES Indiana Bill Calc.'!$D$20="Yes 2018"),'AES Indiana Bill Calc.'!$D$19,-1)</f>
        <v>-1</v>
      </c>
      <c r="C593" s="103">
        <f>MAX(E593,$C$562)</f>
        <v>500</v>
      </c>
      <c r="D593" s="103" t="b">
        <f>IF(AND('AES Indiana Bill Calc.'!$D$17="PL",'AES Indiana Bill Calc.'!$D$18="Yes 25%",'AES Indiana Bill Calc.'!$D$20="Yes 2018"),'AES Indiana Bill Calc.'!$D$22)</f>
        <v>0</v>
      </c>
      <c r="E593" s="103" t="b">
        <f>IF(AND('AES Indiana Bill Calc.'!$D$17="PL",'AES Indiana Bill Calc.'!$D$18="Yes 25%",'AES Indiana Bill Calc.'!$D$20="Yes 2018"),'AES Indiana Bill Calc.'!$D$21)</f>
        <v>0</v>
      </c>
      <c r="F593" s="36" t="s">
        <v>214</v>
      </c>
      <c r="G593" s="42" t="e">
        <f>SUM(J593:M593,R593:AA593)</f>
        <v>#N/A</v>
      </c>
      <c r="H593" s="19" t="e">
        <f>IF(ISBLANK(B593),0,+#REF!/B593)</f>
        <v>#REF!</v>
      </c>
      <c r="I593" s="19"/>
      <c r="J593" s="88">
        <f>IF(ISBLANK(B593),0,+J$564)</f>
        <v>130</v>
      </c>
      <c r="K593" s="42">
        <f>ROUND($B593*K$564,2)</f>
        <v>-0.04</v>
      </c>
      <c r="L593" s="92">
        <f>IF($C593&gt;L$565,ROUND(L$565*L$564,2),ROUND($C593*L$564,2))</f>
        <v>14150</v>
      </c>
      <c r="M593" s="92">
        <f>IF($C593&gt;L$565,ROUND(($C593-L$565)*M$564,2),0)</f>
        <v>0</v>
      </c>
      <c r="N593" s="92">
        <f>K593</f>
        <v>-0.04</v>
      </c>
      <c r="O593" s="42"/>
      <c r="P593" s="42"/>
      <c r="Q593" s="92">
        <f>SUM(L593:M593)</f>
        <v>14150</v>
      </c>
      <c r="R593" s="82" t="e">
        <f>ROUND(SUM(K593:M593)*(R592-1),2)</f>
        <v>#N/A</v>
      </c>
      <c r="S593" s="42">
        <f>ROUND($B593*S$564*S592,2)</f>
        <v>0</v>
      </c>
      <c r="T593" s="42">
        <f>ROUND($B593*T$564,2)</f>
        <v>0.01</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2.3699999999999997E-3</v>
      </c>
      <c r="AC593" s="94" t="str">
        <f>+F593</f>
        <v>PL8</v>
      </c>
    </row>
    <row r="594" spans="1:29" ht="13" x14ac:dyDescent="0.3">
      <c r="A594" s="9"/>
      <c r="B594" s="103">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ht="13" x14ac:dyDescent="0.3">
      <c r="A595" s="1" t="s">
        <v>164</v>
      </c>
      <c r="B595" s="103">
        <f>IF(AND('AES Indiana Bill Calc.'!$D$17="PL",'AES Indiana Bill Calc.'!$D$18="Yes 10%",'AES Indiana Bill Calc.'!$D$20="Yes 2018"),'AES Indiana Bill Calc.'!$D$19,-1)</f>
        <v>-1</v>
      </c>
      <c r="C595" s="103">
        <f>MAX(E595,$C$562)</f>
        <v>500</v>
      </c>
      <c r="D595" s="103" t="b">
        <f>IF(AND('AES Indiana Bill Calc.'!$D$17="PL",'AES Indiana Bill Calc.'!$D$18="Yes 10%",'AES Indiana Bill Calc.'!$D$20="Yes 2018"),'AES Indiana Bill Calc.'!$D$22)</f>
        <v>0</v>
      </c>
      <c r="E595" s="103" t="b">
        <f>IF(AND('AES Indiana Bill Calc.'!$D$17="PL",'AES Indiana Bill Calc.'!$D$18="Yes 10%",'AES Indiana Bill Calc.'!$D$20="Yes 2018"),'AES Indiana Bill Calc.'!$D$21)</f>
        <v>0</v>
      </c>
      <c r="F595" s="36" t="s">
        <v>214</v>
      </c>
      <c r="G595" s="42" t="e">
        <f>SUM(J595:M595,R595:AA595)</f>
        <v>#N/A</v>
      </c>
      <c r="H595" s="19" t="e">
        <f>IF(ISBLANK(B595),0,+#REF!/B595)</f>
        <v>#REF!</v>
      </c>
      <c r="I595" s="19"/>
      <c r="J595" s="88">
        <f>IF(ISBLANK(B595),0,+J$564)</f>
        <v>130</v>
      </c>
      <c r="K595" s="42">
        <f>ROUND($B595*K$564,2)</f>
        <v>-0.04</v>
      </c>
      <c r="L595" s="92">
        <f>IF($C595&gt;L$565,ROUND(L$565*L$564,2),ROUND($C595*L$564,2))</f>
        <v>14150</v>
      </c>
      <c r="M595" s="92">
        <f>IF($C595&gt;L$565,ROUND(($C595-L$565)*M$564,2),0)</f>
        <v>0</v>
      </c>
      <c r="N595" s="92">
        <f>K595</f>
        <v>-0.04</v>
      </c>
      <c r="O595" s="42"/>
      <c r="P595" s="42"/>
      <c r="Q595" s="92">
        <f>SUM(L595:M595)</f>
        <v>14150</v>
      </c>
      <c r="R595" s="82" t="e">
        <f>ROUND(SUM(K595:M595)*(R594-1),2)</f>
        <v>#N/A</v>
      </c>
      <c r="S595" s="42">
        <f>ROUND($B595*S$564*S594,2)</f>
        <v>0</v>
      </c>
      <c r="T595" s="42">
        <f>ROUND($B595*T$564,2)</f>
        <v>0.01</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2.3699999999999997E-3</v>
      </c>
      <c r="AC595" s="94" t="str">
        <f>+F595</f>
        <v>PL8</v>
      </c>
    </row>
    <row r="596" spans="1:29" ht="13" x14ac:dyDescent="0.3">
      <c r="A596" s="9"/>
      <c r="B596" s="103">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ht="13" x14ac:dyDescent="0.3">
      <c r="A597" s="1" t="s">
        <v>147</v>
      </c>
      <c r="B597" s="103">
        <f>IF(AND('AES Indiana Bill Calc.'!$D$17="PL",'AES Indiana Bill Calc.'!$D$18="No",'AES Indiana Bill Calc.'!$D$20="Yes 2018"),'AES Indiana Bill Calc.'!$D$19,-1)</f>
        <v>-1</v>
      </c>
      <c r="C597" s="103">
        <f>MAX(E597,$C$562)</f>
        <v>500</v>
      </c>
      <c r="D597" s="103" t="b">
        <f>IF(AND('AES Indiana Bill Calc.'!$D$17="PL",'AES Indiana Bill Calc.'!$D$18="No",'AES Indiana Bill Calc.'!$D$20="Yes 2018"),'AES Indiana Bill Calc.'!$D$22)</f>
        <v>0</v>
      </c>
      <c r="E597" s="103" t="b">
        <f>IF(AND('AES Indiana Bill Calc.'!$D$17="PL",'AES Indiana Bill Calc.'!$D$18="No",'AES Indiana Bill Calc.'!$D$20="Yes 2018"),'AES Indiana Bill Calc.'!$D$21)</f>
        <v>0</v>
      </c>
      <c r="F597" s="36" t="s">
        <v>214</v>
      </c>
      <c r="G597" s="42" t="e">
        <f>SUM(J597:M597,R597:AA597)</f>
        <v>#N/A</v>
      </c>
      <c r="H597" s="19" t="e">
        <f>IF(ISBLANK(B597),0,+#REF!/B597)</f>
        <v>#REF!</v>
      </c>
      <c r="I597" s="19"/>
      <c r="J597" s="88">
        <f>IF(ISBLANK(B597),0,+J$564)</f>
        <v>130</v>
      </c>
      <c r="K597" s="42">
        <f>ROUND($B597*K$564,2)</f>
        <v>-0.04</v>
      </c>
      <c r="L597" s="92">
        <f>IF($C597&gt;L$565,ROUND(L$565*L$564,2),ROUND($C597*L$564,2))</f>
        <v>14150</v>
      </c>
      <c r="M597" s="92">
        <f>IF($C597&gt;L$565,ROUND(($C597-L$565)*M$564,2),0)</f>
        <v>0</v>
      </c>
      <c r="N597" s="92">
        <f>K597</f>
        <v>-0.04</v>
      </c>
      <c r="O597" s="42"/>
      <c r="P597" s="42"/>
      <c r="Q597" s="92">
        <f>SUM(L597:M597)</f>
        <v>14150</v>
      </c>
      <c r="R597" s="82" t="e">
        <f>ROUND(SUM(K597:M597)*(R596-1),2)</f>
        <v>#N/A</v>
      </c>
      <c r="S597" s="42">
        <f>ROUND($B597*S$564*S596,2)</f>
        <v>0</v>
      </c>
      <c r="T597" s="42">
        <f>ROUND($B597*T$564,2)</f>
        <v>0.01</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4" t="str">
        <f>+F597</f>
        <v>PL8</v>
      </c>
    </row>
    <row r="598" spans="1:29" ht="13" x14ac:dyDescent="0.3">
      <c r="A598" s="53"/>
      <c r="B598" s="97">
        <v>-1</v>
      </c>
      <c r="D598" s="87"/>
      <c r="E598" s="97"/>
      <c r="F598" s="36"/>
      <c r="G598" s="98"/>
      <c r="H598" s="19"/>
      <c r="I598" s="19"/>
      <c r="J598" s="107"/>
      <c r="K598" s="98"/>
      <c r="L598" s="98"/>
      <c r="M598" s="98"/>
      <c r="N598" s="98"/>
      <c r="O598" s="98"/>
      <c r="P598" s="98"/>
      <c r="Q598" s="98"/>
      <c r="R598" s="38" t="e">
        <f>VLOOKUP((D599),'Pwr Factor'!$A$1:$B$52,2)</f>
        <v>#N/A</v>
      </c>
      <c r="S598" s="50">
        <v>1</v>
      </c>
      <c r="T598" s="98"/>
      <c r="U598" s="98"/>
      <c r="V598" s="87"/>
      <c r="W598" s="98"/>
      <c r="X598" s="98"/>
      <c r="Y598" s="98"/>
      <c r="Z598" s="98"/>
      <c r="AA598" s="98"/>
      <c r="AB598" s="19"/>
      <c r="AC598" s="108"/>
    </row>
    <row r="599" spans="1:29" ht="13" x14ac:dyDescent="0.3">
      <c r="A599" s="1" t="s">
        <v>148</v>
      </c>
      <c r="B599" s="103">
        <f>IF(AND('AES Indiana Bill Calc.'!$D$17="PL",'AES Indiana Bill Calc.'!$D$18="Yes 100%",'AES Indiana Bill Calc.'!$D$20="Yes 2019"),'AES Indiana Bill Calc.'!$D$19,-1)</f>
        <v>-1</v>
      </c>
      <c r="C599" s="103">
        <f>MAX(E599,$C$562)</f>
        <v>500</v>
      </c>
      <c r="D599" s="103" t="b">
        <f>IF(AND('AES Indiana Bill Calc.'!$D$17="PL",'AES Indiana Bill Calc.'!$D$18="Yes 100%",'AES Indiana Bill Calc.'!$D$20="Yes 2019"),'AES Indiana Bill Calc.'!$D$22)</f>
        <v>0</v>
      </c>
      <c r="E599" s="103" t="b">
        <f>IF(AND('AES Indiana Bill Calc.'!$D$17="PL",'AES Indiana Bill Calc.'!$D$18="Yes 100%",'AES Indiana Bill Calc.'!$D$20="Yes 2019"),'AES Indiana Bill Calc.'!$D$21)</f>
        <v>0</v>
      </c>
      <c r="F599" s="36" t="s">
        <v>215</v>
      </c>
      <c r="G599" s="42" t="e">
        <f>SUM(J599:M599,R599:AA599)</f>
        <v>#N/A</v>
      </c>
      <c r="H599" s="19" t="e">
        <f>IF(ISBLANK(B599),0,+#REF!/B599)</f>
        <v>#REF!</v>
      </c>
      <c r="I599" s="19"/>
      <c r="J599" s="88">
        <f>IF(ISBLANK(B599),0,+J$564)</f>
        <v>130</v>
      </c>
      <c r="K599" s="42">
        <f>ROUND($B599*K$564,2)</f>
        <v>-0.04</v>
      </c>
      <c r="L599" s="92">
        <f>IF($C599&gt;L$565,ROUND(L$565*L$564,2),ROUND($C599*L$564,2))</f>
        <v>14150</v>
      </c>
      <c r="M599" s="92">
        <f>IF($C599&gt;L$565,ROUND(($C599-L$565)*M$564,2),0)</f>
        <v>0</v>
      </c>
      <c r="N599" s="92">
        <f>K599</f>
        <v>-0.04</v>
      </c>
      <c r="O599" s="42"/>
      <c r="P599" s="42"/>
      <c r="Q599" s="92">
        <f>SUM(L599:M599)</f>
        <v>14150</v>
      </c>
      <c r="R599" s="82" t="e">
        <f>ROUND(SUM(K599:M599)*(R598-1),2)</f>
        <v>#N/A</v>
      </c>
      <c r="S599" s="42">
        <f>ROUND($B599*S$564*S598,2)</f>
        <v>0</v>
      </c>
      <c r="T599" s="42">
        <f>ROUND($B599*T$564,2)</f>
        <v>0.01</v>
      </c>
      <c r="U599" s="42">
        <f>ROUND($B599*U$564,2)</f>
        <v>0</v>
      </c>
      <c r="V599" s="87">
        <f>ROUND($B599*V$558,2)</f>
        <v>0</v>
      </c>
      <c r="W599" s="42">
        <f>ROUND($B599*W$564,2)</f>
        <v>0</v>
      </c>
      <c r="X599" s="42">
        <f>ROUND($B599*X$564,2)</f>
        <v>0</v>
      </c>
      <c r="Y599" s="42">
        <f>ROUND($B599*Y$564,2)</f>
        <v>0</v>
      </c>
      <c r="Z599" s="42">
        <f>ROUND($B599*Z$564,2)</f>
        <v>0</v>
      </c>
      <c r="AA599" s="42">
        <f>ROUND($B599*AA$564,2)</f>
        <v>0</v>
      </c>
      <c r="AB599" s="19">
        <f>SUM(U$564:AA$564)+(-V$564+V559)</f>
        <v>2.8309999999999993E-3</v>
      </c>
      <c r="AC599" s="94" t="str">
        <f>+F599</f>
        <v>PL9</v>
      </c>
    </row>
    <row r="600" spans="1:29" ht="13" x14ac:dyDescent="0.3">
      <c r="A600" s="9"/>
      <c r="B600" s="97">
        <v>-1</v>
      </c>
      <c r="D600" s="87"/>
      <c r="E600" s="97"/>
      <c r="F600" s="36"/>
      <c r="G600" s="98"/>
      <c r="H600" s="19"/>
      <c r="I600" s="19"/>
      <c r="J600" s="107"/>
      <c r="K600" s="98"/>
      <c r="L600" s="98"/>
      <c r="M600" s="98"/>
      <c r="N600" s="98"/>
      <c r="O600" s="98"/>
      <c r="P600" s="98"/>
      <c r="Q600" s="98"/>
      <c r="R600" s="38" t="e">
        <f>VLOOKUP((D601),'Pwr Factor'!$A$1:$B$52,2)</f>
        <v>#N/A</v>
      </c>
      <c r="S600" s="50">
        <v>0.5</v>
      </c>
      <c r="T600" s="98"/>
      <c r="U600" s="98"/>
      <c r="V600" s="87"/>
      <c r="W600" s="98"/>
      <c r="X600" s="98"/>
      <c r="Y600" s="98"/>
      <c r="Z600" s="98"/>
      <c r="AA600" s="98"/>
      <c r="AB600" s="19"/>
      <c r="AC600" s="108"/>
    </row>
    <row r="601" spans="1:29" ht="13" x14ac:dyDescent="0.3">
      <c r="A601" s="1" t="s">
        <v>149</v>
      </c>
      <c r="B601" s="103">
        <f>IF(AND('AES Indiana Bill Calc.'!$D$17="PL",'AES Indiana Bill Calc.'!$D$18="Yes 50%",'AES Indiana Bill Calc.'!$D$20="Yes 2019"),'AES Indiana Bill Calc.'!$D$19,-1)</f>
        <v>-1</v>
      </c>
      <c r="C601" s="103">
        <f>MAX(E601,$C$562)</f>
        <v>500</v>
      </c>
      <c r="D601" s="103" t="b">
        <f>IF(AND('AES Indiana Bill Calc.'!$D$17="PL",'AES Indiana Bill Calc.'!$D$18="Yes 50%",'AES Indiana Bill Calc.'!$D$20="Yes 2019"),'AES Indiana Bill Calc.'!$D$22)</f>
        <v>0</v>
      </c>
      <c r="E601" s="103" t="b">
        <f>IF(AND('AES Indiana Bill Calc.'!$D$17="PL",'AES Indiana Bill Calc.'!$D$18="Yes 50%",'AES Indiana Bill Calc.'!$D$20="Yes 2019"),'AES Indiana Bill Calc.'!$D$21)</f>
        <v>0</v>
      </c>
      <c r="F601" s="36" t="s">
        <v>215</v>
      </c>
      <c r="G601" s="42" t="e">
        <f>SUM(J601:M601,R601:AA601)</f>
        <v>#N/A</v>
      </c>
      <c r="H601" s="19" t="e">
        <f>IF(ISBLANK(B601),0,+#REF!/B601)</f>
        <v>#REF!</v>
      </c>
      <c r="I601" s="19"/>
      <c r="J601" s="88">
        <f>IF(ISBLANK(B601),0,+J$564)</f>
        <v>130</v>
      </c>
      <c r="K601" s="42">
        <f>ROUND($B601*K$564,2)</f>
        <v>-0.04</v>
      </c>
      <c r="L601" s="92">
        <f>IF($C601&gt;L$565,ROUND(L$565*L$564,2),ROUND($C601*L$564,2))</f>
        <v>14150</v>
      </c>
      <c r="M601" s="92">
        <f>IF($C601&gt;L$565,ROUND(($C601-L$565)*M$564,2),0)</f>
        <v>0</v>
      </c>
      <c r="N601" s="92">
        <f>K601</f>
        <v>-0.04</v>
      </c>
      <c r="O601" s="42"/>
      <c r="P601" s="42"/>
      <c r="Q601" s="92">
        <f>SUM(L601:M601)</f>
        <v>14150</v>
      </c>
      <c r="R601" s="82" t="e">
        <f>ROUND(SUM(K601:M601)*(R600-1),2)</f>
        <v>#N/A</v>
      </c>
      <c r="S601" s="42">
        <f>ROUND($B601*S$564*S600,2)</f>
        <v>0</v>
      </c>
      <c r="T601" s="42">
        <f>ROUND($B601*T$564,2)</f>
        <v>0.01</v>
      </c>
      <c r="U601" s="42">
        <f>ROUND($B601*U$564,2)</f>
        <v>0</v>
      </c>
      <c r="V601" s="87">
        <f>ROUND($B601*V$558,2)</f>
        <v>0</v>
      </c>
      <c r="W601" s="42">
        <f>ROUND($B601*W$564,2)</f>
        <v>0</v>
      </c>
      <c r="X601" s="42">
        <f>ROUND($B601*X$564,2)</f>
        <v>0</v>
      </c>
      <c r="Y601" s="42">
        <f>ROUND($B601*Y$564,2)</f>
        <v>0</v>
      </c>
      <c r="Z601" s="42">
        <f>ROUND($B601*Z$564,2)</f>
        <v>0</v>
      </c>
      <c r="AA601" s="42">
        <f>ROUND($B601*AA$564,2)</f>
        <v>0</v>
      </c>
      <c r="AB601" s="19">
        <f>SUM(U$564:AA$564)+(-V$564+V561)</f>
        <v>2.3699999999999997E-3</v>
      </c>
      <c r="AC601" s="94" t="str">
        <f>+F601</f>
        <v>PL9</v>
      </c>
    </row>
    <row r="602" spans="1:29" ht="13" x14ac:dyDescent="0.3">
      <c r="A602" s="9"/>
      <c r="B602" s="97">
        <v>-1</v>
      </c>
      <c r="D602" s="87"/>
      <c r="E602" s="97"/>
      <c r="F602" s="36"/>
      <c r="G602" s="98"/>
      <c r="H602" s="19"/>
      <c r="I602" s="19"/>
      <c r="J602" s="107"/>
      <c r="K602" s="98"/>
      <c r="L602" s="98"/>
      <c r="M602" s="98"/>
      <c r="N602" s="98"/>
      <c r="O602" s="98"/>
      <c r="P602" s="98"/>
      <c r="Q602" s="98"/>
      <c r="R602" s="38" t="e">
        <f>VLOOKUP((D603),'Pwr Factor'!$A$1:$B$52,2)</f>
        <v>#N/A</v>
      </c>
      <c r="S602" s="50">
        <v>0.25</v>
      </c>
      <c r="T602" s="98"/>
      <c r="U602" s="98"/>
      <c r="V602" s="87"/>
      <c r="W602" s="98"/>
      <c r="X602" s="98"/>
      <c r="Y602" s="98"/>
      <c r="Z602" s="98"/>
      <c r="AA602" s="98"/>
      <c r="AB602" s="19"/>
      <c r="AC602" s="108"/>
    </row>
    <row r="603" spans="1:29" ht="13" x14ac:dyDescent="0.3">
      <c r="A603" s="1" t="s">
        <v>150</v>
      </c>
      <c r="B603" s="103">
        <f>IF(AND('AES Indiana Bill Calc.'!$D$17="PL",'AES Indiana Bill Calc.'!$D$18="Yes 25%",'AES Indiana Bill Calc.'!$D$20="Yes 2019"),'AES Indiana Bill Calc.'!$D$19,-1)</f>
        <v>-1</v>
      </c>
      <c r="C603" s="103">
        <f>MAX(E603,$C$562)</f>
        <v>500</v>
      </c>
      <c r="D603" s="103" t="b">
        <f>IF(AND('AES Indiana Bill Calc.'!$D$17="PL",'AES Indiana Bill Calc.'!$D$18="Yes 25%",'AES Indiana Bill Calc.'!$D$20="Yes 2019"),'AES Indiana Bill Calc.'!$D$22)</f>
        <v>0</v>
      </c>
      <c r="E603" s="103" t="b">
        <f>IF(AND('AES Indiana Bill Calc.'!$D$17="PL",'AES Indiana Bill Calc.'!$D$18="Yes 25%",'AES Indiana Bill Calc.'!$D$20="Yes 2019"),'AES Indiana Bill Calc.'!$D$21)</f>
        <v>0</v>
      </c>
      <c r="F603" s="36" t="s">
        <v>215</v>
      </c>
      <c r="G603" s="42" t="e">
        <f>SUM(J603:M603,R603:AA603)</f>
        <v>#N/A</v>
      </c>
      <c r="H603" s="19" t="e">
        <f>IF(ISBLANK(B603),0,+#REF!/B603)</f>
        <v>#REF!</v>
      </c>
      <c r="I603" s="19"/>
      <c r="J603" s="88">
        <f>IF(ISBLANK(B603),0,+J$564)</f>
        <v>130</v>
      </c>
      <c r="K603" s="42">
        <f>ROUND($B603*K$564,2)</f>
        <v>-0.04</v>
      </c>
      <c r="L603" s="92">
        <f>IF($C603&gt;L$565,ROUND(L$565*L$564,2),ROUND($C603*L$564,2))</f>
        <v>14150</v>
      </c>
      <c r="M603" s="92">
        <f>IF($C603&gt;L$565,ROUND(($C603-L$565)*M$564,2),0)</f>
        <v>0</v>
      </c>
      <c r="N603" s="92">
        <f>K603</f>
        <v>-0.04</v>
      </c>
      <c r="O603" s="42"/>
      <c r="P603" s="42"/>
      <c r="Q603" s="92">
        <f>SUM(L603:M603)</f>
        <v>14150</v>
      </c>
      <c r="R603" s="82" t="e">
        <f>ROUND(SUM(K603:M603)*(R602-1),2)</f>
        <v>#N/A</v>
      </c>
      <c r="S603" s="42">
        <f>ROUND($B603*S$564*S602,2)</f>
        <v>0</v>
      </c>
      <c r="T603" s="42">
        <f>ROUND($B603*T$564,2)</f>
        <v>0.01</v>
      </c>
      <c r="U603" s="42">
        <f>ROUND($B603*U$564,2)</f>
        <v>0</v>
      </c>
      <c r="V603" s="87">
        <f>ROUND($B603*V$558,2)</f>
        <v>0</v>
      </c>
      <c r="W603" s="42">
        <f>ROUND($B603*W$564,2)</f>
        <v>0</v>
      </c>
      <c r="X603" s="42">
        <f>ROUND($B603*X$564,2)</f>
        <v>0</v>
      </c>
      <c r="Y603" s="42">
        <f>ROUND($B603*Y$564,2)</f>
        <v>0</v>
      </c>
      <c r="Z603" s="42">
        <f>ROUND($B603*Z$564,2)</f>
        <v>0</v>
      </c>
      <c r="AA603" s="42">
        <f>ROUND($B603*AA$564,2)</f>
        <v>0</v>
      </c>
      <c r="AB603" s="19">
        <f>SUM(U$564:AA$564)+(-V$564+V565)</f>
        <v>2.3699999999999997E-3</v>
      </c>
      <c r="AC603" s="94" t="str">
        <f>+F603</f>
        <v>PL9</v>
      </c>
    </row>
    <row r="604" spans="1:29" ht="13" x14ac:dyDescent="0.3">
      <c r="A604" s="9"/>
      <c r="B604" s="97">
        <v>-1</v>
      </c>
      <c r="D604" s="87"/>
      <c r="E604" s="97"/>
      <c r="F604" s="36"/>
      <c r="G604" s="98"/>
      <c r="H604" s="19"/>
      <c r="I604" s="19"/>
      <c r="J604" s="107"/>
      <c r="K604" s="98"/>
      <c r="L604" s="98"/>
      <c r="M604" s="98"/>
      <c r="N604" s="98"/>
      <c r="O604" s="98"/>
      <c r="P604" s="98"/>
      <c r="Q604" s="98"/>
      <c r="R604" s="38" t="e">
        <f>VLOOKUP((D605),'Pwr Factor'!$A$1:$B$52,2)</f>
        <v>#N/A</v>
      </c>
      <c r="S604" s="50">
        <v>0.1</v>
      </c>
      <c r="T604" s="98"/>
      <c r="U604" s="98"/>
      <c r="V604" s="87"/>
      <c r="W604" s="98"/>
      <c r="X604" s="98"/>
      <c r="Y604" s="98"/>
      <c r="Z604" s="98"/>
      <c r="AA604" s="98"/>
      <c r="AB604" s="19"/>
      <c r="AC604" s="108"/>
    </row>
    <row r="605" spans="1:29" ht="13" x14ac:dyDescent="0.3">
      <c r="A605" s="1" t="s">
        <v>164</v>
      </c>
      <c r="B605" s="103">
        <f>IF(AND('AES Indiana Bill Calc.'!$D$17="PL",'AES Indiana Bill Calc.'!$D$18="Yes 10%",'AES Indiana Bill Calc.'!$D$20="Yes 2019"),'AES Indiana Bill Calc.'!$D$19,-1)</f>
        <v>-1</v>
      </c>
      <c r="C605" s="103">
        <f>MAX(E605,$C$562)</f>
        <v>500</v>
      </c>
      <c r="D605" s="103" t="b">
        <f>IF(AND('AES Indiana Bill Calc.'!$D$17="PL",'AES Indiana Bill Calc.'!$D$18="Yes 10%",'AES Indiana Bill Calc.'!$D$20="Yes 2019"),'AES Indiana Bill Calc.'!$D$22)</f>
        <v>0</v>
      </c>
      <c r="E605" s="103" t="b">
        <f>IF(AND('AES Indiana Bill Calc.'!$D$17="PL",'AES Indiana Bill Calc.'!$D$18="Yes 10%",'AES Indiana Bill Calc.'!$D$20="Yes 2019"),'AES Indiana Bill Calc.'!$D$21)</f>
        <v>0</v>
      </c>
      <c r="F605" s="36" t="s">
        <v>215</v>
      </c>
      <c r="G605" s="42" t="e">
        <f>SUM(J605:M605,R605:AA605)</f>
        <v>#N/A</v>
      </c>
      <c r="H605" s="19" t="e">
        <f>IF(ISBLANK(B605),0,+#REF!/B605)</f>
        <v>#REF!</v>
      </c>
      <c r="I605" s="19"/>
      <c r="J605" s="88">
        <f>IF(ISBLANK(B605),0,+J$564)</f>
        <v>130</v>
      </c>
      <c r="K605" s="42">
        <f>ROUND($B605*K$564,2)</f>
        <v>-0.04</v>
      </c>
      <c r="L605" s="92">
        <f>IF($C605&gt;L$565,ROUND(L$565*L$564,2),ROUND($C605*L$564,2))</f>
        <v>14150</v>
      </c>
      <c r="M605" s="92">
        <f>IF($C605&gt;L$565,ROUND(($C605-L$565)*M$564,2),0)</f>
        <v>0</v>
      </c>
      <c r="N605" s="92">
        <f>K605</f>
        <v>-0.04</v>
      </c>
      <c r="O605" s="42"/>
      <c r="P605" s="42"/>
      <c r="Q605" s="92">
        <f>SUM(L605:M605)</f>
        <v>14150</v>
      </c>
      <c r="R605" s="82" t="e">
        <f>ROUND(SUM(K605:M605)*(R604-1),2)</f>
        <v>#N/A</v>
      </c>
      <c r="S605" s="42">
        <f>ROUND($B605*S$564*S604,2)</f>
        <v>0</v>
      </c>
      <c r="T605" s="42">
        <f>ROUND($B605*T$564,2)</f>
        <v>0.01</v>
      </c>
      <c r="U605" s="42">
        <f>ROUND($B605*U$564,2)</f>
        <v>0</v>
      </c>
      <c r="V605" s="87">
        <f>ROUND($B605*V$558,2)</f>
        <v>0</v>
      </c>
      <c r="W605" s="42">
        <f>ROUND($B605*W$564,2)</f>
        <v>0</v>
      </c>
      <c r="X605" s="42">
        <f>ROUND($B605*X$564,2)</f>
        <v>0</v>
      </c>
      <c r="Y605" s="42">
        <f>ROUND($B605*Y$564,2)</f>
        <v>0</v>
      </c>
      <c r="Z605" s="42">
        <f>ROUND($B605*Z$564,2)</f>
        <v>0</v>
      </c>
      <c r="AA605" s="42">
        <f>ROUND($B605*AA$564,2)</f>
        <v>0</v>
      </c>
      <c r="AB605" s="19" t="e">
        <f>SUM(U$564:AA$564)+(-V$564+V567)</f>
        <v>#VALUE!</v>
      </c>
      <c r="AC605" s="94" t="str">
        <f>+F605</f>
        <v>PL9</v>
      </c>
    </row>
    <row r="606" spans="1:29" ht="13" x14ac:dyDescent="0.3">
      <c r="A606" s="9"/>
      <c r="B606" s="97">
        <v>-1</v>
      </c>
      <c r="D606" s="87"/>
      <c r="E606" s="97"/>
      <c r="F606" s="36"/>
      <c r="G606" s="98"/>
      <c r="H606" s="19"/>
      <c r="I606" s="19"/>
      <c r="J606" s="107"/>
      <c r="K606" s="98"/>
      <c r="L606" s="98"/>
      <c r="M606" s="98"/>
      <c r="N606" s="98"/>
      <c r="O606" s="98"/>
      <c r="P606" s="98"/>
      <c r="Q606" s="98"/>
      <c r="R606" s="38" t="e">
        <f>VLOOKUP((D607),'Pwr Factor'!$A$1:$B$52,2)</f>
        <v>#N/A</v>
      </c>
      <c r="S606" s="50">
        <v>0</v>
      </c>
      <c r="T606" s="98"/>
      <c r="U606" s="98"/>
      <c r="V606" s="87"/>
      <c r="W606" s="98"/>
      <c r="X606" s="98"/>
      <c r="Y606" s="98"/>
      <c r="Z606" s="98"/>
      <c r="AA606" s="98"/>
      <c r="AB606" s="19"/>
      <c r="AC606" s="108"/>
    </row>
    <row r="607" spans="1:29" ht="13" x14ac:dyDescent="0.3">
      <c r="A607" s="1" t="s">
        <v>147</v>
      </c>
      <c r="B607" s="103">
        <f>IF(AND('AES Indiana Bill Calc.'!$D$17="PL",'AES Indiana Bill Calc.'!$D$18="No",'AES Indiana Bill Calc.'!$D$20="Yes 2019"),'AES Indiana Bill Calc.'!$D$19,-1)</f>
        <v>-1</v>
      </c>
      <c r="C607" s="103">
        <f>MAX(E607,$C$562)</f>
        <v>500</v>
      </c>
      <c r="D607" s="103" t="b">
        <f>IF(AND('AES Indiana Bill Calc.'!$D$17="PL",'AES Indiana Bill Calc.'!$D$18="No",'AES Indiana Bill Calc.'!$D$20="Yes 2019"),'AES Indiana Bill Calc.'!$D$22)</f>
        <v>0</v>
      </c>
      <c r="E607" s="103" t="b">
        <f>IF(AND('AES Indiana Bill Calc.'!$D$17="PL",'AES Indiana Bill Calc.'!$D$18="No",'AES Indiana Bill Calc.'!$D$20="Yes 2019"),'AES Indiana Bill Calc.'!$D$21)</f>
        <v>0</v>
      </c>
      <c r="F607" s="36" t="s">
        <v>215</v>
      </c>
      <c r="G607" s="42" t="e">
        <f>SUM(J607:M607,R607:AA607)</f>
        <v>#N/A</v>
      </c>
      <c r="H607" s="19" t="e">
        <f>IF(ISBLANK(B607),0,+#REF!/B607)</f>
        <v>#REF!</v>
      </c>
      <c r="I607" s="19"/>
      <c r="J607" s="88">
        <f>IF(ISBLANK(B607),0,+J$564)</f>
        <v>130</v>
      </c>
      <c r="K607" s="42">
        <f>ROUND($B607*K$564,2)</f>
        <v>-0.04</v>
      </c>
      <c r="L607" s="92">
        <f>IF($C607&gt;L$565,ROUND(L$565*L$564,2),ROUND($C607*L$564,2))</f>
        <v>14150</v>
      </c>
      <c r="M607" s="92">
        <f>IF($C607&gt;L$565,ROUND(($C607-L$565)*M$564,2),0)</f>
        <v>0</v>
      </c>
      <c r="N607" s="92">
        <f>K607</f>
        <v>-0.04</v>
      </c>
      <c r="O607" s="42"/>
      <c r="P607" s="42"/>
      <c r="Q607" s="92">
        <f>SUM(L607:M607)</f>
        <v>14150</v>
      </c>
      <c r="R607" s="82" t="e">
        <f>ROUND(SUM(K607:M607)*(R606-1),2)</f>
        <v>#N/A</v>
      </c>
      <c r="S607" s="42">
        <f>ROUND($B607*S$564*S606,2)</f>
        <v>0</v>
      </c>
      <c r="T607" s="42">
        <f>ROUND($B607*T$564,2)</f>
        <v>0.01</v>
      </c>
      <c r="U607" s="42">
        <f>ROUND($B607*U$564,2)</f>
        <v>0</v>
      </c>
      <c r="V607" s="87">
        <f>ROUND($B607*V$558,2)</f>
        <v>0</v>
      </c>
      <c r="W607" s="42">
        <f>ROUND($B607*W$564,2)</f>
        <v>0</v>
      </c>
      <c r="X607" s="42">
        <f>ROUND($B607*X$564,2)</f>
        <v>0</v>
      </c>
      <c r="Y607" s="42">
        <f>ROUND($B607*Y$564,2)</f>
        <v>0</v>
      </c>
      <c r="Z607" s="42">
        <f>ROUND($B607*Z$564,2)</f>
        <v>0</v>
      </c>
      <c r="AA607" s="42">
        <f>ROUND($B607*AA$564,2)</f>
        <v>0</v>
      </c>
      <c r="AB607" s="19">
        <f>SUM(U$564:AA$564)+(-V$564+V569)</f>
        <v>-7.6299999999999996E-3</v>
      </c>
      <c r="AC607" s="94" t="str">
        <f>+F607</f>
        <v>PL9</v>
      </c>
    </row>
    <row r="608" spans="1:29" ht="13" x14ac:dyDescent="0.3">
      <c r="A608" s="53"/>
      <c r="B608" s="97">
        <v>-1</v>
      </c>
      <c r="D608" s="41"/>
      <c r="E608" s="80"/>
      <c r="F608" s="36"/>
      <c r="G608" s="42"/>
      <c r="H608" s="19"/>
      <c r="I608" s="19"/>
      <c r="J608" s="88"/>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35">
      <c r="A609" s="1" t="s">
        <v>148</v>
      </c>
      <c r="B609" s="103">
        <f>IF(AND('AES Indiana Bill Calc.'!$D$17="PL",'AES Indiana Bill Calc.'!$D$18="Yes 100%",'AES Indiana Bill Calc.'!$D$20="Yes 2020"),'AES Indiana Bill Calc.'!$D$19,-1)</f>
        <v>-1</v>
      </c>
      <c r="C609" s="103">
        <f>MAX(E609,$C$562)</f>
        <v>500</v>
      </c>
      <c r="D609" s="103" t="b">
        <f>IF(AND('AES Indiana Bill Calc.'!$D$17="PL",'AES Indiana Bill Calc.'!$D$18="Yes 100%",'AES Indiana Bill Calc.'!$D$20="Yes 2020"),'AES Indiana Bill Calc.'!$D$22)</f>
        <v>0</v>
      </c>
      <c r="E609" s="103" t="b">
        <f>IF(AND('AES Indiana Bill Calc.'!$D$17="PL",'AES Indiana Bill Calc.'!$D$18="Yes 100%",'AES Indiana Bill Calc.'!$D$20="Yes 2020"),'AES Indiana Bill Calc.'!$D$21)</f>
        <v>0</v>
      </c>
      <c r="F609" s="36" t="s">
        <v>216</v>
      </c>
      <c r="G609" s="42" t="e">
        <f>SUM(J609:M609,R609:AA609)</f>
        <v>#N/A</v>
      </c>
      <c r="H609" s="19" t="e">
        <f>IF(ISBLANK(B609),0,+#REF!/B609)</f>
        <v>#REF!</v>
      </c>
      <c r="I609" s="19"/>
      <c r="J609" s="88">
        <f>IF(ISBLANK(B609),0,+J$564)</f>
        <v>130</v>
      </c>
      <c r="K609" s="42">
        <f>ROUND($B609*K$564,2)</f>
        <v>-0.04</v>
      </c>
      <c r="L609" s="92">
        <f>IF($C609&gt;L$565,ROUND(L$565*L$564,2),ROUND($C609*L$564,2))</f>
        <v>14150</v>
      </c>
      <c r="M609" s="92">
        <f>IF($C609&gt;L$565,ROUND(($C609-L$565)*M$564,2),0)</f>
        <v>0</v>
      </c>
      <c r="N609" s="92">
        <f>K609</f>
        <v>-0.04</v>
      </c>
      <c r="O609" s="42"/>
      <c r="P609" s="42"/>
      <c r="Q609" s="92">
        <f>SUM(L609:M609)</f>
        <v>14150</v>
      </c>
      <c r="R609" s="82" t="e">
        <f>ROUND(SUM(K609:M609)*(R608-1),2)</f>
        <v>#N/A</v>
      </c>
      <c r="S609" s="42">
        <f>ROUND($B609*S$564*S608,2)</f>
        <v>0</v>
      </c>
      <c r="T609" s="42">
        <f>ROUND($B609*T$564,2)</f>
        <v>0.01</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2.8309999999999993E-3</v>
      </c>
      <c r="AC609" s="94" t="str">
        <f>+F609</f>
        <v>PL0</v>
      </c>
      <c r="AD609"/>
      <c r="AE609"/>
      <c r="AF609"/>
      <c r="AG609"/>
      <c r="AH609"/>
      <c r="AI609"/>
      <c r="AJ609"/>
      <c r="AK609"/>
      <c r="AL609"/>
      <c r="AM609"/>
      <c r="AN609"/>
      <c r="AO609"/>
      <c r="AP609"/>
      <c r="AQ609"/>
      <c r="AR609"/>
    </row>
    <row r="610" spans="1:44" ht="13" x14ac:dyDescent="0.3">
      <c r="A610" s="9"/>
      <c r="B610" s="97">
        <v>-1</v>
      </c>
      <c r="D610" s="41"/>
      <c r="E610" s="80"/>
      <c r="F610" s="36"/>
      <c r="G610" s="42"/>
      <c r="H610" s="19"/>
      <c r="I610" s="19"/>
      <c r="J610" s="88"/>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ht="13" x14ac:dyDescent="0.3">
      <c r="A611" s="1" t="s">
        <v>149</v>
      </c>
      <c r="B611" s="103">
        <f>IF(AND('AES Indiana Bill Calc.'!$D$17="PL",'AES Indiana Bill Calc.'!$D$18="Yes 50%",'AES Indiana Bill Calc.'!$D$20="Yes 2020"),'AES Indiana Bill Calc.'!$D$19,-1)</f>
        <v>-1</v>
      </c>
      <c r="C611" s="103">
        <f>MAX(E611,$C$562)</f>
        <v>500</v>
      </c>
      <c r="D611" s="103" t="b">
        <f>IF(AND('AES Indiana Bill Calc.'!$D$17="PL",'AES Indiana Bill Calc.'!$D$18="Yes 50%",'AES Indiana Bill Calc.'!$D$20="Yes 2020"),'AES Indiana Bill Calc.'!$D$22)</f>
        <v>0</v>
      </c>
      <c r="E611" s="103" t="b">
        <f>IF(AND('AES Indiana Bill Calc.'!$D$17="PL",'AES Indiana Bill Calc.'!$D$18="Yes 50%",'AES Indiana Bill Calc.'!$D$20="Yes 2020"),'AES Indiana Bill Calc.'!$D$21)</f>
        <v>0</v>
      </c>
      <c r="F611" s="36" t="s">
        <v>216</v>
      </c>
      <c r="G611" s="42" t="e">
        <f>SUM(J611:M611,R611:AA611)</f>
        <v>#N/A</v>
      </c>
      <c r="H611" s="19" t="e">
        <f>IF(ISBLANK(B611),0,+#REF!/B611)</f>
        <v>#REF!</v>
      </c>
      <c r="I611" s="19"/>
      <c r="J611" s="88">
        <f>IF(ISBLANK(B611),0,+J$564)</f>
        <v>130</v>
      </c>
      <c r="K611" s="42">
        <f>ROUND($B611*K$564,2)</f>
        <v>-0.04</v>
      </c>
      <c r="L611" s="92">
        <f>IF($C611&gt;L$565,ROUND(L$565*L$564,2),ROUND($C611*L$564,2))</f>
        <v>14150</v>
      </c>
      <c r="M611" s="92">
        <f>IF($C611&gt;L$565,ROUND(($C611-L$565)*M$564,2),0)</f>
        <v>0</v>
      </c>
      <c r="N611" s="92">
        <f>K611</f>
        <v>-0.04</v>
      </c>
      <c r="O611" s="42"/>
      <c r="P611" s="42"/>
      <c r="Q611" s="92">
        <f>SUM(L611:M611)</f>
        <v>14150</v>
      </c>
      <c r="R611" s="82" t="e">
        <f>ROUND(SUM(K611:M611)*(R610-1),2)</f>
        <v>#N/A</v>
      </c>
      <c r="S611" s="42">
        <f>ROUND($B611*S$564*S610,2)</f>
        <v>0</v>
      </c>
      <c r="T611" s="42">
        <f>ROUND($B611*T$564,2)</f>
        <v>0.01</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2.3699999999999997E-3</v>
      </c>
      <c r="AC611" s="94" t="str">
        <f>+F611</f>
        <v>PL0</v>
      </c>
    </row>
    <row r="612" spans="1:44" ht="13" x14ac:dyDescent="0.3">
      <c r="A612" s="9"/>
      <c r="B612" s="97">
        <v>-1</v>
      </c>
      <c r="D612" s="41"/>
      <c r="E612" s="80"/>
      <c r="F612" s="36"/>
      <c r="G612" s="42"/>
      <c r="H612" s="19"/>
      <c r="I612" s="19"/>
      <c r="J612" s="88"/>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ht="13" x14ac:dyDescent="0.3">
      <c r="A613" s="1" t="s">
        <v>150</v>
      </c>
      <c r="B613" s="103">
        <f>IF(AND('AES Indiana Bill Calc.'!$D$17="PL",'AES Indiana Bill Calc.'!$D$18="Yes 25%",'AES Indiana Bill Calc.'!$D$20="Yes 2020"),'AES Indiana Bill Calc.'!$D$19,-1)</f>
        <v>-1</v>
      </c>
      <c r="C613" s="103">
        <f>MAX(E613,$C$562)</f>
        <v>500</v>
      </c>
      <c r="D613" s="103" t="b">
        <f>IF(AND('AES Indiana Bill Calc.'!$D$17="PL",'AES Indiana Bill Calc.'!$D$18="Yes 25%",'AES Indiana Bill Calc.'!$D$20="Yes 2020"),'AES Indiana Bill Calc.'!$D$22)</f>
        <v>0</v>
      </c>
      <c r="E613" s="103" t="b">
        <f>IF(AND('AES Indiana Bill Calc.'!$D$17="PL",'AES Indiana Bill Calc.'!$D$18="Yes 25%",'AES Indiana Bill Calc.'!$D$20="Yes 2020"),'AES Indiana Bill Calc.'!$D$21)</f>
        <v>0</v>
      </c>
      <c r="F613" s="36" t="s">
        <v>216</v>
      </c>
      <c r="G613" s="42" t="e">
        <f>SUM(J613:M613,R613:AA613)</f>
        <v>#N/A</v>
      </c>
      <c r="H613" s="19" t="e">
        <f>IF(ISBLANK(B613),0,+#REF!/B613)</f>
        <v>#REF!</v>
      </c>
      <c r="I613" s="19"/>
      <c r="J613" s="88">
        <f>IF(ISBLANK(B613),0,+J$564)</f>
        <v>130</v>
      </c>
      <c r="K613" s="42">
        <f>ROUND($B613*K$564,2)</f>
        <v>-0.04</v>
      </c>
      <c r="L613" s="92">
        <f>IF($C613&gt;L$565,ROUND(L$565*L$564,2),ROUND($C613*L$564,2))</f>
        <v>14150</v>
      </c>
      <c r="M613" s="92">
        <f>IF($C613&gt;L$565,ROUND(($C613-L$565)*M$564,2),0)</f>
        <v>0</v>
      </c>
      <c r="N613" s="92">
        <f>K613</f>
        <v>-0.04</v>
      </c>
      <c r="O613" s="42"/>
      <c r="P613" s="42"/>
      <c r="Q613" s="92">
        <f>SUM(L613:M613)</f>
        <v>14150</v>
      </c>
      <c r="R613" s="82" t="e">
        <f>ROUND(SUM(K613:M613)*(R612-1),2)</f>
        <v>#N/A</v>
      </c>
      <c r="S613" s="42">
        <f>ROUND($B613*S$564*S612,2)</f>
        <v>0</v>
      </c>
      <c r="T613" s="42">
        <f>ROUND($B613*T$564,2)</f>
        <v>0.01</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2.3699999999999997E-3</v>
      </c>
      <c r="AC613" s="94" t="str">
        <f>+F613</f>
        <v>PL0</v>
      </c>
    </row>
    <row r="614" spans="1:44" ht="13" x14ac:dyDescent="0.3">
      <c r="A614" s="9"/>
      <c r="B614" s="97">
        <v>-1</v>
      </c>
      <c r="D614" s="41"/>
      <c r="E614" s="80"/>
      <c r="F614" s="36"/>
      <c r="G614" s="42"/>
      <c r="H614" s="19"/>
      <c r="I614" s="19"/>
      <c r="J614" s="88"/>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ht="13" x14ac:dyDescent="0.3">
      <c r="A615" s="1" t="s">
        <v>164</v>
      </c>
      <c r="B615" s="103">
        <f>IF(AND('AES Indiana Bill Calc.'!$D$17="PL",'AES Indiana Bill Calc.'!$D$18="Yes 10%",'AES Indiana Bill Calc.'!$D$20="Yes 2020"),'AES Indiana Bill Calc.'!$D$19,-1)</f>
        <v>-1</v>
      </c>
      <c r="C615" s="103">
        <f>MAX(E615,$C$562)</f>
        <v>500</v>
      </c>
      <c r="D615" s="103" t="b">
        <f>IF(AND('AES Indiana Bill Calc.'!$D$17="PL",'AES Indiana Bill Calc.'!$D$18="Yes 10%",'AES Indiana Bill Calc.'!$D$20="Yes 2020"),'AES Indiana Bill Calc.'!$D$22)</f>
        <v>0</v>
      </c>
      <c r="E615" s="103" t="b">
        <f>IF(AND('AES Indiana Bill Calc.'!$D$17="PL",'AES Indiana Bill Calc.'!$D$18="Yes 10%",'AES Indiana Bill Calc.'!$D$20="Yes 2020"),'AES Indiana Bill Calc.'!$D$21)</f>
        <v>0</v>
      </c>
      <c r="F615" s="36" t="s">
        <v>216</v>
      </c>
      <c r="G615" s="42" t="e">
        <f>SUM(J615:M615,R615:AA615)</f>
        <v>#N/A</v>
      </c>
      <c r="H615" s="19" t="e">
        <f>IF(ISBLANK(B615),0,+#REF!/B615)</f>
        <v>#REF!</v>
      </c>
      <c r="I615" s="19"/>
      <c r="J615" s="88">
        <f>IF(ISBLANK(B615),0,+J$564)</f>
        <v>130</v>
      </c>
      <c r="K615" s="42">
        <f>ROUND($B615*K$564,2)</f>
        <v>-0.04</v>
      </c>
      <c r="L615" s="92">
        <f>IF($C615&gt;L$565,ROUND(L$565*L$564,2),ROUND($C615*L$564,2))</f>
        <v>14150</v>
      </c>
      <c r="M615" s="92">
        <f>IF($C615&gt;L$565,ROUND(($C615-L$565)*M$564,2),0)</f>
        <v>0</v>
      </c>
      <c r="N615" s="92">
        <f>K615</f>
        <v>-0.04</v>
      </c>
      <c r="O615" s="42"/>
      <c r="P615" s="42"/>
      <c r="Q615" s="92">
        <f>SUM(L615:M615)</f>
        <v>14150</v>
      </c>
      <c r="R615" s="82" t="e">
        <f>ROUND(SUM(K615:M615)*(R614-1),2)</f>
        <v>#N/A</v>
      </c>
      <c r="S615" s="42">
        <f>ROUND($B615*S$564*S614,2)</f>
        <v>0</v>
      </c>
      <c r="T615" s="42">
        <f>ROUND($B615*T$564,2)</f>
        <v>0.01</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4" t="str">
        <f>+F615</f>
        <v>PL0</v>
      </c>
    </row>
    <row r="616" spans="1:44" ht="13" x14ac:dyDescent="0.3">
      <c r="A616" s="9"/>
      <c r="B616" s="97">
        <v>-1</v>
      </c>
      <c r="D616" s="41"/>
      <c r="E616" s="80"/>
      <c r="F616" s="36"/>
      <c r="G616" s="42"/>
      <c r="H616" s="19"/>
      <c r="I616" s="19"/>
      <c r="J616" s="88"/>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ht="13" x14ac:dyDescent="0.3">
      <c r="A617" s="1" t="s">
        <v>147</v>
      </c>
      <c r="B617" s="103">
        <f>IF(AND('AES Indiana Bill Calc.'!$D$17="PL",'AES Indiana Bill Calc.'!$D$18="No",'AES Indiana Bill Calc.'!$D$20="Yes 2020"),'AES Indiana Bill Calc.'!$D$19,-1)</f>
        <v>-1</v>
      </c>
      <c r="C617" s="103">
        <f>MAX(E617,$C$562)</f>
        <v>500</v>
      </c>
      <c r="D617" s="103" t="b">
        <f>IF(AND('AES Indiana Bill Calc.'!$D$17="PL",'AES Indiana Bill Calc.'!$D$18="No",'AES Indiana Bill Calc.'!$D$20="Yes 2020"),'AES Indiana Bill Calc.'!$D$22)</f>
        <v>0</v>
      </c>
      <c r="E617" s="103" t="b">
        <f>IF(AND('AES Indiana Bill Calc.'!$D$17="PL",'AES Indiana Bill Calc.'!$D$18="No",'AES Indiana Bill Calc.'!$D$20="Yes 2020"),'AES Indiana Bill Calc.'!$D$21)</f>
        <v>0</v>
      </c>
      <c r="F617" s="36" t="s">
        <v>216</v>
      </c>
      <c r="G617" s="42" t="e">
        <f>SUM(J617:M617,R617:AA617)</f>
        <v>#N/A</v>
      </c>
      <c r="H617" s="19" t="e">
        <f>IF(ISBLANK(B617),0,+#REF!/B617)</f>
        <v>#REF!</v>
      </c>
      <c r="I617" s="19"/>
      <c r="J617" s="88">
        <f>IF(ISBLANK(B617),0,+J$564)</f>
        <v>130</v>
      </c>
      <c r="K617" s="42">
        <f>ROUND($B617*K$564,2)</f>
        <v>-0.04</v>
      </c>
      <c r="L617" s="92">
        <f>IF($C617&gt;L$565,ROUND(L$565*L$564,2),ROUND($C617*L$564,2))</f>
        <v>14150</v>
      </c>
      <c r="M617" s="92">
        <f>IF($C617&gt;L$565,ROUND(($C617-L$565)*M$564,2),0)</f>
        <v>0</v>
      </c>
      <c r="N617" s="92">
        <f>K617</f>
        <v>-0.04</v>
      </c>
      <c r="O617" s="42"/>
      <c r="P617" s="42"/>
      <c r="Q617" s="92">
        <f>SUM(L617:M617)</f>
        <v>14150</v>
      </c>
      <c r="R617" s="82" t="e">
        <f>ROUND(SUM(K617:M617)*(R616-1),2)</f>
        <v>#N/A</v>
      </c>
      <c r="S617" s="42">
        <f>ROUND($B617*S$564*S616,2)</f>
        <v>0</v>
      </c>
      <c r="T617" s="42">
        <f>ROUND($B617*T$564,2)</f>
        <v>0.01</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-7.6299999999999996E-3</v>
      </c>
      <c r="AC617" s="94" t="str">
        <f>+F617</f>
        <v>PL0</v>
      </c>
    </row>
    <row r="618" spans="1:44" ht="13" x14ac:dyDescent="0.3">
      <c r="B618" s="97">
        <v>-1</v>
      </c>
      <c r="D618" s="41"/>
      <c r="E618" s="80"/>
      <c r="F618" s="36"/>
      <c r="G618" s="42"/>
      <c r="H618" s="19"/>
      <c r="I618" s="19"/>
      <c r="J618" s="88"/>
      <c r="K618" s="42"/>
      <c r="L618" s="42"/>
      <c r="M618" s="42"/>
      <c r="N618" s="42"/>
      <c r="O618" s="42"/>
      <c r="P618" s="42"/>
      <c r="Q618" s="42"/>
      <c r="R618" s="38" t="e">
        <f>VLOOKUP((D619),'Pwr Factor'!$A$1:$B$52,2)</f>
        <v>#N/A</v>
      </c>
      <c r="S618" s="50">
        <v>1</v>
      </c>
      <c r="T618" s="42"/>
      <c r="U618" s="42"/>
      <c r="V618" s="41"/>
      <c r="W618" s="42"/>
      <c r="X618" s="42"/>
      <c r="Y618" s="42"/>
      <c r="Z618" s="42"/>
      <c r="AA618" s="42"/>
      <c r="AB618" s="19"/>
      <c r="AC618" s="94"/>
    </row>
    <row r="619" spans="1:44" ht="13" x14ac:dyDescent="0.3">
      <c r="A619" s="1" t="s">
        <v>148</v>
      </c>
      <c r="B619" s="103">
        <f>IF(AND('AES Indiana Bill Calc.'!$D$17="PL",'AES Indiana Bill Calc.'!$D$18="Yes 100%",'AES Indiana Bill Calc.'!$D$20="Yes 2021"),'AES Indiana Bill Calc.'!$D$19,-1)</f>
        <v>-1</v>
      </c>
      <c r="C619" s="103">
        <f>MAX(E619,$C$562)</f>
        <v>500</v>
      </c>
      <c r="D619" s="103" t="b">
        <f>IF(AND('AES Indiana Bill Calc.'!$D$17="PL",'AES Indiana Bill Calc.'!$D$18="Yes 100%",'AES Indiana Bill Calc.'!$D$20="Yes 2021"),'AES Indiana Bill Calc.'!$D$22)</f>
        <v>0</v>
      </c>
      <c r="E619" s="103" t="b">
        <f>IF(AND('AES Indiana Bill Calc.'!$D$17="PL",'AES Indiana Bill Calc.'!$D$18="Yes 100%",'AES Indiana Bill Calc.'!$D$20="Yes 2021"),'AES Indiana Bill Calc.'!$D$21)</f>
        <v>0</v>
      </c>
      <c r="F619" s="36" t="s">
        <v>217</v>
      </c>
      <c r="G619" s="42" t="e">
        <f>SUM(J619:M619,R619:AA619)</f>
        <v>#N/A</v>
      </c>
      <c r="H619" s="19" t="e">
        <f>IF(ISBLANK(B619),0,+#REF!/B619)</f>
        <v>#REF!</v>
      </c>
      <c r="I619" s="19"/>
      <c r="J619" s="88">
        <f>IF(ISBLANK(B619),0,+J$564)</f>
        <v>130</v>
      </c>
      <c r="K619" s="42">
        <f>ROUND($B619*K$564,2)</f>
        <v>-0.04</v>
      </c>
      <c r="L619" s="92">
        <f>IF($C619&gt;L$565,ROUND(L$565*L$564,2),ROUND($C619*L$564,2))</f>
        <v>14150</v>
      </c>
      <c r="M619" s="92">
        <f>IF($C619&gt;L$565,ROUND(($C619-L$565)*M$564,2),0)</f>
        <v>0</v>
      </c>
      <c r="N619" s="92">
        <f>K619</f>
        <v>-0.04</v>
      </c>
      <c r="O619" s="42"/>
      <c r="P619" s="42"/>
      <c r="Q619" s="92">
        <f>SUM(L619:M619)</f>
        <v>14150</v>
      </c>
      <c r="R619" s="82" t="e">
        <f>ROUND(SUM(K619:M619)*(R618-1),2)</f>
        <v>#N/A</v>
      </c>
      <c r="S619" s="42">
        <f>ROUND($B619*S$564*S618,2)</f>
        <v>0</v>
      </c>
      <c r="T619" s="42">
        <f>ROUND($B619*T$564,2)</f>
        <v>0.01</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7.894E-3</v>
      </c>
      <c r="AC619" s="94" t="str">
        <f>+F619</f>
        <v>PL1</v>
      </c>
    </row>
    <row r="620" spans="1:44" ht="13" x14ac:dyDescent="0.3">
      <c r="A620" s="9"/>
      <c r="B620" s="97">
        <v>-1</v>
      </c>
      <c r="D620" s="41"/>
      <c r="E620" s="80"/>
      <c r="F620" s="36"/>
      <c r="G620" s="42"/>
      <c r="H620" s="19"/>
      <c r="I620" s="19"/>
      <c r="J620" s="88"/>
      <c r="K620" s="42"/>
      <c r="L620" s="42"/>
      <c r="M620" s="42"/>
      <c r="N620" s="42"/>
      <c r="O620" s="42"/>
      <c r="P620" s="42"/>
      <c r="Q620" s="42"/>
      <c r="R620" s="38" t="e">
        <f>VLOOKUP((D621),'Pwr Factor'!$A$1:$B$52,2)</f>
        <v>#N/A</v>
      </c>
      <c r="S620" s="50">
        <v>0.5</v>
      </c>
      <c r="T620" s="42"/>
      <c r="U620" s="42"/>
      <c r="V620" s="41"/>
      <c r="W620" s="42"/>
      <c r="X620" s="42"/>
      <c r="Y620" s="42"/>
      <c r="Z620" s="42"/>
      <c r="AA620" s="42"/>
      <c r="AB620" s="19"/>
      <c r="AC620" s="94"/>
    </row>
    <row r="621" spans="1:44" ht="13" x14ac:dyDescent="0.3">
      <c r="A621" s="1" t="s">
        <v>149</v>
      </c>
      <c r="B621" s="103">
        <f>IF(AND('AES Indiana Bill Calc.'!$D$17="PL",'AES Indiana Bill Calc.'!$D$18="Yes 50%",'AES Indiana Bill Calc.'!$D$20="Yes 2021"),'AES Indiana Bill Calc.'!$D$19,-1)</f>
        <v>-1</v>
      </c>
      <c r="C621" s="103">
        <f>MAX(E621,$C$562)</f>
        <v>500</v>
      </c>
      <c r="D621" s="103" t="b">
        <f>IF(AND('AES Indiana Bill Calc.'!$D$17="PL",'AES Indiana Bill Calc.'!$D$18="Yes 50%",'AES Indiana Bill Calc.'!$D$20="Yes 2021"),'AES Indiana Bill Calc.'!$D$22)</f>
        <v>0</v>
      </c>
      <c r="E621" s="103" t="b">
        <f>IF(AND('AES Indiana Bill Calc.'!$D$17="PL",'AES Indiana Bill Calc.'!$D$18="Yes 50%",'AES Indiana Bill Calc.'!$D$20="Yes 2021"),'AES Indiana Bill Calc.'!$D$21)</f>
        <v>0</v>
      </c>
      <c r="F621" s="36" t="s">
        <v>217</v>
      </c>
      <c r="G621" s="42" t="e">
        <f>SUM(J621:M621,R621:AA621)</f>
        <v>#N/A</v>
      </c>
      <c r="H621" s="19" t="e">
        <f>IF(ISBLANK(B621),0,+#REF!/B621)</f>
        <v>#REF!</v>
      </c>
      <c r="I621" s="19"/>
      <c r="J621" s="88">
        <f>IF(ISBLANK(B621),0,+J$564)</f>
        <v>130</v>
      </c>
      <c r="K621" s="42">
        <f>ROUND($B621*K$564,2)</f>
        <v>-0.04</v>
      </c>
      <c r="L621" s="92">
        <f>IF($C621&gt;L$565,ROUND(L$565*L$564,2),ROUND($C621*L$564,2))</f>
        <v>14150</v>
      </c>
      <c r="M621" s="92">
        <f>IF($C621&gt;L$565,ROUND(($C621-L$565)*M$564,2),0)</f>
        <v>0</v>
      </c>
      <c r="N621" s="92">
        <f>K621</f>
        <v>-0.04</v>
      </c>
      <c r="O621" s="42"/>
      <c r="P621" s="42"/>
      <c r="Q621" s="92">
        <f>SUM(L621:M621)</f>
        <v>14150</v>
      </c>
      <c r="R621" s="82" t="e">
        <f>ROUND(SUM(K621:M621)*(R620-1),2)</f>
        <v>#N/A</v>
      </c>
      <c r="S621" s="42">
        <f>ROUND($B621*S$564*S620,2)</f>
        <v>0</v>
      </c>
      <c r="T621" s="42">
        <f>ROUND($B621*T$564,2)</f>
        <v>0.01</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22.002369999999999</v>
      </c>
      <c r="AC621" s="94" t="str">
        <f>+F621</f>
        <v>PL1</v>
      </c>
    </row>
    <row r="622" spans="1:44" ht="13" x14ac:dyDescent="0.3">
      <c r="A622" s="9"/>
      <c r="B622" s="97">
        <v>-1</v>
      </c>
      <c r="D622" s="41"/>
      <c r="E622" s="80"/>
      <c r="F622" s="36"/>
      <c r="G622" s="42"/>
      <c r="H622" s="19"/>
      <c r="I622" s="19"/>
      <c r="J622" s="88"/>
      <c r="K622" s="42"/>
      <c r="L622" s="42"/>
      <c r="M622" s="42"/>
      <c r="N622" s="42"/>
      <c r="O622" s="42"/>
      <c r="P622" s="42"/>
      <c r="Q622" s="42"/>
      <c r="R622" s="38" t="e">
        <f>VLOOKUP((D623),'Pwr Factor'!$A$1:$B$52,2)</f>
        <v>#N/A</v>
      </c>
      <c r="S622" s="50">
        <v>0.25</v>
      </c>
      <c r="T622" s="42"/>
      <c r="U622" s="42"/>
      <c r="V622" s="41"/>
      <c r="W622" s="42"/>
      <c r="X622" s="42"/>
      <c r="Y622" s="42"/>
      <c r="Z622" s="42"/>
      <c r="AA622" s="42"/>
      <c r="AB622" s="19"/>
      <c r="AC622" s="94"/>
    </row>
    <row r="623" spans="1:44" ht="13" x14ac:dyDescent="0.3">
      <c r="A623" s="1" t="s">
        <v>150</v>
      </c>
      <c r="B623" s="103">
        <f>IF(AND('AES Indiana Bill Calc.'!$D$17="PL",'AES Indiana Bill Calc.'!$D$18="Yes 25%",'AES Indiana Bill Calc.'!$D$20="Yes 2021"),'AES Indiana Bill Calc.'!$D$19,-1)</f>
        <v>-1</v>
      </c>
      <c r="C623" s="103">
        <f>MAX(E623,$C$562)</f>
        <v>500</v>
      </c>
      <c r="D623" s="103" t="b">
        <f>IF(AND('AES Indiana Bill Calc.'!$D$17="PL",'AES Indiana Bill Calc.'!$D$18="Yes 25%",'AES Indiana Bill Calc.'!$D$20="Yes 2021"),'AES Indiana Bill Calc.'!$D$22)</f>
        <v>0</v>
      </c>
      <c r="E623" s="103" t="b">
        <f>IF(AND('AES Indiana Bill Calc.'!$D$17="PL",'AES Indiana Bill Calc.'!$D$18="Yes 25%",'AES Indiana Bill Calc.'!$D$20="Yes 2021"),'AES Indiana Bill Calc.'!$D$21)</f>
        <v>0</v>
      </c>
      <c r="F623" s="36" t="s">
        <v>217</v>
      </c>
      <c r="G623" s="42" t="e">
        <f>SUM(J623:M623,R623:AA623)</f>
        <v>#N/A</v>
      </c>
      <c r="H623" s="19" t="e">
        <f>IF(ISBLANK(B623),0,+#REF!/B623)</f>
        <v>#REF!</v>
      </c>
      <c r="I623" s="19"/>
      <c r="J623" s="88">
        <f>IF(ISBLANK(B623),0,+J$564)</f>
        <v>130</v>
      </c>
      <c r="K623" s="42">
        <f>ROUND($B623*K$564,2)</f>
        <v>-0.04</v>
      </c>
      <c r="L623" s="92">
        <f>IF($C623&gt;L$565,ROUND(L$565*L$564,2),ROUND($C623*L$564,2))</f>
        <v>14150</v>
      </c>
      <c r="M623" s="92">
        <f>IF($C623&gt;L$565,ROUND(($C623-L$565)*M$564,2),0)</f>
        <v>0</v>
      </c>
      <c r="N623" s="92">
        <f>K623</f>
        <v>-0.04</v>
      </c>
      <c r="O623" s="42"/>
      <c r="P623" s="42"/>
      <c r="Q623" s="92">
        <f>SUM(L623:M623)</f>
        <v>14150</v>
      </c>
      <c r="R623" s="82" t="e">
        <f>ROUND(SUM(K623:M623)*(R622-1),2)</f>
        <v>#N/A</v>
      </c>
      <c r="S623" s="42">
        <f>ROUND($B623*S$564*S622,2)</f>
        <v>0</v>
      </c>
      <c r="T623" s="42">
        <f>ROUND($B623*T$564,2)</f>
        <v>0.01</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2.3699999999999997E-3</v>
      </c>
      <c r="AC623" s="94" t="str">
        <f>+F623</f>
        <v>PL1</v>
      </c>
    </row>
    <row r="624" spans="1:44" ht="13" x14ac:dyDescent="0.3">
      <c r="A624" s="9"/>
      <c r="B624" s="97">
        <v>-1</v>
      </c>
      <c r="D624" s="41"/>
      <c r="E624" s="80"/>
      <c r="F624" s="36"/>
      <c r="G624" s="42"/>
      <c r="H624" s="19"/>
      <c r="I624" s="19"/>
      <c r="J624" s="88"/>
      <c r="K624" s="42"/>
      <c r="L624" s="42"/>
      <c r="M624" s="42"/>
      <c r="N624" s="42"/>
      <c r="O624" s="42"/>
      <c r="P624" s="42"/>
      <c r="Q624" s="42"/>
      <c r="R624" s="38" t="e">
        <f>VLOOKUP((D625),'Pwr Factor'!$A$1:$B$52,2)</f>
        <v>#N/A</v>
      </c>
      <c r="S624" s="50">
        <v>0.1</v>
      </c>
      <c r="T624" s="42"/>
      <c r="U624" s="42"/>
      <c r="V624" s="41"/>
      <c r="W624" s="42"/>
      <c r="X624" s="42"/>
      <c r="Y624" s="42"/>
      <c r="Z624" s="42"/>
      <c r="AA624" s="42"/>
      <c r="AB624" s="19"/>
      <c r="AC624" s="94"/>
    </row>
    <row r="625" spans="1:29" ht="13" x14ac:dyDescent="0.3">
      <c r="A625" s="1" t="s">
        <v>164</v>
      </c>
      <c r="B625" s="103">
        <f>IF(AND('AES Indiana Bill Calc.'!$D$17="PL",'AES Indiana Bill Calc.'!$D$18="Yes 10%",'AES Indiana Bill Calc.'!$D$20="Yes 2021"),'AES Indiana Bill Calc.'!$D$19,-1)</f>
        <v>-1</v>
      </c>
      <c r="C625" s="103">
        <f>MAX(E625,$C$562)</f>
        <v>500</v>
      </c>
      <c r="D625" s="103" t="b">
        <f>IF(AND('AES Indiana Bill Calc.'!$D$17="PL",'AES Indiana Bill Calc.'!$D$18="Yes 10%",'AES Indiana Bill Calc.'!$D$20="Yes 2021"),'AES Indiana Bill Calc.'!$D$22)</f>
        <v>0</v>
      </c>
      <c r="E625" s="103" t="b">
        <f>IF(AND('AES Indiana Bill Calc.'!$D$17="PL",'AES Indiana Bill Calc.'!$D$18="Yes 10%",'AES Indiana Bill Calc.'!$D$20="Yes 2021"),'AES Indiana Bill Calc.'!$D$21)</f>
        <v>0</v>
      </c>
      <c r="F625" s="36" t="s">
        <v>217</v>
      </c>
      <c r="G625" s="42" t="e">
        <f>SUM(J625:M625,R625:AA625)</f>
        <v>#N/A</v>
      </c>
      <c r="H625" s="19" t="e">
        <f>IF(ISBLANK(B625),0,+#REF!/B625)</f>
        <v>#REF!</v>
      </c>
      <c r="I625" s="19"/>
      <c r="J625" s="88">
        <f>IF(ISBLANK(B625),0,+J$564)</f>
        <v>130</v>
      </c>
      <c r="K625" s="42">
        <f>ROUND($B625*K$564,2)</f>
        <v>-0.04</v>
      </c>
      <c r="L625" s="92">
        <f>IF($C625&gt;L$565,ROUND(L$565*L$564,2),ROUND($C625*L$564,2))</f>
        <v>14150</v>
      </c>
      <c r="M625" s="92">
        <f>IF($C625&gt;L$565,ROUND(($C625-L$565)*M$564,2),0)</f>
        <v>0</v>
      </c>
      <c r="N625" s="92">
        <f>K625</f>
        <v>-0.04</v>
      </c>
      <c r="O625" s="42"/>
      <c r="P625" s="42"/>
      <c r="Q625" s="92">
        <f>SUM(L625:M625)</f>
        <v>14150</v>
      </c>
      <c r="R625" s="82" t="e">
        <f>ROUND(SUM(K625:M625)*(R624-1),2)</f>
        <v>#N/A</v>
      </c>
      <c r="S625" s="42">
        <f>ROUND($B625*S$564*S624,2)</f>
        <v>0</v>
      </c>
      <c r="T625" s="42">
        <f>ROUND($B625*T$564,2)</f>
        <v>0.01</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2.3699999999999997E-3</v>
      </c>
      <c r="AC625" s="94" t="str">
        <f>+F625</f>
        <v>PL1</v>
      </c>
    </row>
    <row r="626" spans="1:29" ht="13" x14ac:dyDescent="0.3">
      <c r="A626" s="9"/>
      <c r="B626" s="97">
        <v>-1</v>
      </c>
      <c r="D626" s="41"/>
      <c r="E626" s="80"/>
      <c r="F626" s="36"/>
      <c r="G626" s="42"/>
      <c r="H626" s="19"/>
      <c r="I626" s="19"/>
      <c r="J626" s="88"/>
      <c r="K626" s="42"/>
      <c r="L626" s="42"/>
      <c r="M626" s="42"/>
      <c r="N626" s="42"/>
      <c r="O626" s="42"/>
      <c r="P626" s="42"/>
      <c r="Q626" s="42"/>
      <c r="R626" s="38" t="e">
        <f>VLOOKUP((D627),'Pwr Factor'!$A$1:$B$52,2)</f>
        <v>#N/A</v>
      </c>
      <c r="S626" s="50">
        <v>0</v>
      </c>
      <c r="T626" s="42"/>
      <c r="U626" s="42"/>
      <c r="V626" s="41"/>
      <c r="W626" s="42"/>
      <c r="X626" s="42"/>
      <c r="Y626" s="42"/>
      <c r="Z626" s="42"/>
      <c r="AA626" s="42"/>
      <c r="AB626" s="19"/>
      <c r="AC626" s="94"/>
    </row>
    <row r="627" spans="1:29" ht="13" x14ac:dyDescent="0.3">
      <c r="A627" s="1" t="s">
        <v>147</v>
      </c>
      <c r="B627" s="103">
        <f>IF(AND('AES Indiana Bill Calc.'!$D$17="PL",'AES Indiana Bill Calc.'!$D$18="No",'AES Indiana Bill Calc.'!$D$20="Yes 2021"),'AES Indiana Bill Calc.'!$D$19,-1)</f>
        <v>-1</v>
      </c>
      <c r="C627" s="103">
        <f>MAX(E627,$C$562)</f>
        <v>500</v>
      </c>
      <c r="D627" s="103" t="b">
        <f>IF(AND('AES Indiana Bill Calc.'!$D$17="PL",'AES Indiana Bill Calc.'!$D$18="No",'AES Indiana Bill Calc.'!$D$20="Yes 2021"),'AES Indiana Bill Calc.'!$D$22)</f>
        <v>0</v>
      </c>
      <c r="E627" s="103" t="b">
        <f>IF(AND('AES Indiana Bill Calc.'!$D$17="PL",'AES Indiana Bill Calc.'!$D$18="No",'AES Indiana Bill Calc.'!$D$20="Yes 2021"),'AES Indiana Bill Calc.'!$D$21)</f>
        <v>0</v>
      </c>
      <c r="F627" s="36" t="s">
        <v>217</v>
      </c>
      <c r="G627" s="42" t="e">
        <f>SUM(J627:M627,R627:AA627)</f>
        <v>#N/A</v>
      </c>
      <c r="H627" s="19" t="e">
        <f>IF(ISBLANK(B627),0,+#REF!/B627)</f>
        <v>#REF!</v>
      </c>
      <c r="I627" s="19"/>
      <c r="J627" s="88">
        <f>IF(ISBLANK(B627),0,+J$564)</f>
        <v>130</v>
      </c>
      <c r="K627" s="42">
        <f>ROUND($B627*K$564,2)</f>
        <v>-0.04</v>
      </c>
      <c r="L627" s="92">
        <f>IF($C627&gt;L$565,ROUND(L$565*L$564,2),ROUND($C627*L$564,2))</f>
        <v>14150</v>
      </c>
      <c r="M627" s="92">
        <f>IF($C627&gt;L$565,ROUND(($C627-L$565)*M$564,2),0)</f>
        <v>0</v>
      </c>
      <c r="N627" s="92">
        <f>K627</f>
        <v>-0.04</v>
      </c>
      <c r="O627" s="42"/>
      <c r="P627" s="42"/>
      <c r="Q627" s="92">
        <f>SUM(L627:M627)</f>
        <v>14150</v>
      </c>
      <c r="R627" s="82" t="e">
        <f>ROUND(SUM(K627:M627)*(R626-1),2)</f>
        <v>#N/A</v>
      </c>
      <c r="S627" s="42">
        <f>ROUND($B627*S$564*S626,2)</f>
        <v>0</v>
      </c>
      <c r="T627" s="42">
        <f>ROUND($B627*T$564,2)</f>
        <v>0.01</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2.3699999999999997E-3</v>
      </c>
      <c r="AC627" s="94" t="str">
        <f>+F627</f>
        <v>PL1</v>
      </c>
    </row>
    <row r="628" spans="1:29" ht="13" x14ac:dyDescent="0.3">
      <c r="B628" s="97">
        <v>-1</v>
      </c>
      <c r="D628" s="41"/>
      <c r="E628" s="80"/>
      <c r="F628" s="36"/>
      <c r="G628" s="42"/>
      <c r="H628" s="19"/>
      <c r="I628" s="19"/>
      <c r="J628" s="88"/>
      <c r="K628" s="42"/>
      <c r="L628" s="42"/>
      <c r="M628" s="42"/>
      <c r="N628" s="42"/>
      <c r="O628" s="42"/>
      <c r="P628" s="42"/>
      <c r="Q628" s="42"/>
      <c r="R628" s="38" t="e">
        <f>VLOOKUP((D629),'Pwr Factor'!$A$1:$B$52,2)</f>
        <v>#N/A</v>
      </c>
      <c r="S628" s="50">
        <v>1</v>
      </c>
      <c r="T628" s="42"/>
      <c r="U628" s="42"/>
      <c r="V628" s="41"/>
      <c r="W628" s="42"/>
      <c r="X628" s="42"/>
      <c r="Y628" s="42"/>
      <c r="Z628" s="42"/>
      <c r="AA628" s="42"/>
      <c r="AB628" s="19"/>
      <c r="AC628" s="94"/>
    </row>
    <row r="629" spans="1:29" ht="13" x14ac:dyDescent="0.3">
      <c r="A629" s="1" t="s">
        <v>148</v>
      </c>
      <c r="B629" s="103">
        <f>IF(AND('AES Indiana Bill Calc.'!$D$17="PL",'AES Indiana Bill Calc.'!$D$18="Yes 100%",'AES Indiana Bill Calc.'!$D$20="Yes 2022"),'AES Indiana Bill Calc.'!$D$19,-1)</f>
        <v>-1</v>
      </c>
      <c r="C629" s="103">
        <f>MAX(E629,$C$562)</f>
        <v>500</v>
      </c>
      <c r="D629" s="103" t="b">
        <f>IF(AND('AES Indiana Bill Calc.'!$D$17="PL",'AES Indiana Bill Calc.'!$D$18="Yes 100%",'AES Indiana Bill Calc.'!$D$20="Yes 2022"),'AES Indiana Bill Calc.'!$D$22)</f>
        <v>0</v>
      </c>
      <c r="E629" s="103" t="b">
        <f>IF(AND('AES Indiana Bill Calc.'!$D$17="PL",'AES Indiana Bill Calc.'!$D$18="Yes 100%",'AES Indiana Bill Calc.'!$D$20="Yes 2022"),'AES Indiana Bill Calc.'!$D$21)</f>
        <v>0</v>
      </c>
      <c r="F629" s="36" t="s">
        <v>218</v>
      </c>
      <c r="G629" s="42" t="e">
        <f>SUM(J629:M629,R629:AA629)</f>
        <v>#N/A</v>
      </c>
      <c r="H629" s="19" t="e">
        <f>IF(ISBLANK(B629),0,+#REF!/B629)</f>
        <v>#REF!</v>
      </c>
      <c r="I629" s="19"/>
      <c r="J629" s="88">
        <f>IF(ISBLANK(B629),0,+J$564)</f>
        <v>130</v>
      </c>
      <c r="K629" s="42">
        <f>ROUND($B629*K$564,2)</f>
        <v>-0.04</v>
      </c>
      <c r="L629" s="92">
        <f>IF($C629&gt;L$565,ROUND(L$565*L$564,2),ROUND($C629*L$564,2))</f>
        <v>14150</v>
      </c>
      <c r="M629" s="92">
        <f>IF($C629&gt;L$565,ROUND(($C629-L$565)*M$564,2),0)</f>
        <v>0</v>
      </c>
      <c r="N629" s="92">
        <f>K629</f>
        <v>-0.04</v>
      </c>
      <c r="O629" s="42"/>
      <c r="P629" s="42"/>
      <c r="Q629" s="92">
        <f>SUM(L629:M629)</f>
        <v>14150</v>
      </c>
      <c r="R629" s="82" t="e">
        <f>ROUND(SUM(K629:M629)*(R628-1),2)</f>
        <v>#N/A</v>
      </c>
      <c r="S629" s="42">
        <f>ROUND($B629*S$564*S628,2)</f>
        <v>0</v>
      </c>
      <c r="T629" s="42">
        <f>ROUND($B629*T$564,2)</f>
        <v>0.01</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2.3699999999999997E-3</v>
      </c>
      <c r="AC629" s="94" t="str">
        <f>+F629</f>
        <v>PL2</v>
      </c>
    </row>
    <row r="630" spans="1:29" ht="13" x14ac:dyDescent="0.3">
      <c r="A630" s="9"/>
      <c r="B630" s="97">
        <v>-1</v>
      </c>
      <c r="D630" s="41"/>
      <c r="E630" s="80"/>
      <c r="F630" s="36"/>
      <c r="G630" s="42"/>
      <c r="H630" s="19"/>
      <c r="I630" s="19"/>
      <c r="J630" s="88"/>
      <c r="K630" s="42"/>
      <c r="L630" s="42"/>
      <c r="M630" s="42"/>
      <c r="N630" s="42"/>
      <c r="O630" s="42"/>
      <c r="P630" s="42"/>
      <c r="Q630" s="42"/>
      <c r="R630" s="38" t="e">
        <f>VLOOKUP((D631),'Pwr Factor'!$A$1:$B$52,2)</f>
        <v>#N/A</v>
      </c>
      <c r="S630" s="50">
        <v>0.5</v>
      </c>
      <c r="T630" s="42"/>
      <c r="U630" s="42"/>
      <c r="V630" s="41"/>
      <c r="W630" s="42"/>
      <c r="X630" s="42"/>
      <c r="Y630" s="42"/>
      <c r="Z630" s="42"/>
      <c r="AA630" s="42"/>
      <c r="AB630" s="19"/>
      <c r="AC630" s="94"/>
    </row>
    <row r="631" spans="1:29" ht="13" x14ac:dyDescent="0.3">
      <c r="A631" s="1" t="s">
        <v>149</v>
      </c>
      <c r="B631" s="103">
        <f>IF(AND('AES Indiana Bill Calc.'!$D$17="PL",'AES Indiana Bill Calc.'!$D$18="Yes 50%",'AES Indiana Bill Calc.'!$D$20="Yes 2022"),'AES Indiana Bill Calc.'!$D$19,-1)</f>
        <v>-1</v>
      </c>
      <c r="C631" s="103">
        <f>MAX(E631,$C$562)</f>
        <v>500</v>
      </c>
      <c r="D631" s="103" t="b">
        <f>IF(AND('AES Indiana Bill Calc.'!$D$17="PL",'AES Indiana Bill Calc.'!$D$18="Yes 50%",'AES Indiana Bill Calc.'!$D$20="Yes 2022"),'AES Indiana Bill Calc.'!$D$22)</f>
        <v>0</v>
      </c>
      <c r="E631" s="103" t="b">
        <f>IF(AND('AES Indiana Bill Calc.'!$D$17="PL",'AES Indiana Bill Calc.'!$D$18="Yes 50%",'AES Indiana Bill Calc.'!$D$20="Yes 2022"),'AES Indiana Bill Calc.'!$D$21)</f>
        <v>0</v>
      </c>
      <c r="F631" s="36" t="s">
        <v>218</v>
      </c>
      <c r="G631" s="42" t="e">
        <f>SUM(J631:M631,R631:AA631)</f>
        <v>#N/A</v>
      </c>
      <c r="H631" s="19" t="e">
        <f>IF(ISBLANK(B631),0,+#REF!/B631)</f>
        <v>#REF!</v>
      </c>
      <c r="I631" s="19"/>
      <c r="J631" s="88">
        <f>IF(ISBLANK(B631),0,+J$564)</f>
        <v>130</v>
      </c>
      <c r="K631" s="42">
        <f>ROUND($B631*K$564,2)</f>
        <v>-0.04</v>
      </c>
      <c r="L631" s="92">
        <f>IF($C631&gt;L$565,ROUND(L$565*L$564,2),ROUND($C631*L$564,2))</f>
        <v>14150</v>
      </c>
      <c r="M631" s="92">
        <f>IF($C631&gt;L$565,ROUND(($C631-L$565)*M$564,2),0)</f>
        <v>0</v>
      </c>
      <c r="N631" s="92">
        <f>K631</f>
        <v>-0.04</v>
      </c>
      <c r="O631" s="42"/>
      <c r="P631" s="42"/>
      <c r="Q631" s="92">
        <f>SUM(L631:M631)</f>
        <v>14150</v>
      </c>
      <c r="R631" s="82" t="e">
        <f>ROUND(SUM(K631:M631)*(R630-1),2)</f>
        <v>#N/A</v>
      </c>
      <c r="S631" s="42">
        <f>ROUND($B631*S$564*S630,2)</f>
        <v>0</v>
      </c>
      <c r="T631" s="42">
        <f>ROUND($B631*T$564,2)</f>
        <v>0.01</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2.3699999999999997E-3</v>
      </c>
      <c r="AC631" s="94" t="str">
        <f>+F631</f>
        <v>PL2</v>
      </c>
    </row>
    <row r="632" spans="1:29" ht="13" x14ac:dyDescent="0.3">
      <c r="A632" s="9"/>
      <c r="B632" s="97">
        <v>-1</v>
      </c>
      <c r="D632" s="41"/>
      <c r="E632" s="80"/>
      <c r="F632" s="36"/>
      <c r="G632" s="42"/>
      <c r="H632" s="19"/>
      <c r="I632" s="19"/>
      <c r="J632" s="88"/>
      <c r="K632" s="42"/>
      <c r="L632" s="42"/>
      <c r="M632" s="42"/>
      <c r="N632" s="42"/>
      <c r="O632" s="42"/>
      <c r="P632" s="42"/>
      <c r="Q632" s="42"/>
      <c r="R632" s="38" t="e">
        <f>VLOOKUP((D633),'Pwr Factor'!$A$1:$B$52,2)</f>
        <v>#N/A</v>
      </c>
      <c r="S632" s="50">
        <v>0.25</v>
      </c>
      <c r="T632" s="42"/>
      <c r="U632" s="42"/>
      <c r="V632" s="41"/>
      <c r="W632" s="42"/>
      <c r="X632" s="42"/>
      <c r="Y632" s="42"/>
      <c r="Z632" s="42"/>
      <c r="AA632" s="42"/>
      <c r="AB632" s="19"/>
      <c r="AC632" s="94"/>
    </row>
    <row r="633" spans="1:29" ht="13" x14ac:dyDescent="0.3">
      <c r="A633" s="1" t="s">
        <v>150</v>
      </c>
      <c r="B633" s="103">
        <f>IF(AND('AES Indiana Bill Calc.'!$D$17="PL",'AES Indiana Bill Calc.'!$D$18="Yes 25%",'AES Indiana Bill Calc.'!$D$20="Yes 2022"),'AES Indiana Bill Calc.'!$D$19,-1)</f>
        <v>-1</v>
      </c>
      <c r="C633" s="103">
        <f>MAX(E633,$C$562)</f>
        <v>500</v>
      </c>
      <c r="D633" s="103" t="b">
        <f>IF(AND('AES Indiana Bill Calc.'!$D$17="PL",'AES Indiana Bill Calc.'!$D$18="Yes 25%",'AES Indiana Bill Calc.'!$D$20="Yes 2022"),'AES Indiana Bill Calc.'!$D$22)</f>
        <v>0</v>
      </c>
      <c r="E633" s="103" t="b">
        <f>IF(AND('AES Indiana Bill Calc.'!$D$17="PL",'AES Indiana Bill Calc.'!$D$18="Yes 25%",'AES Indiana Bill Calc.'!$D$20="Yes 2022"),'AES Indiana Bill Calc.'!$D$21)</f>
        <v>0</v>
      </c>
      <c r="F633" s="36" t="s">
        <v>218</v>
      </c>
      <c r="G633" s="42" t="e">
        <f>SUM(J633:M633,R633:AA633)</f>
        <v>#N/A</v>
      </c>
      <c r="H633" s="19" t="e">
        <f>IF(ISBLANK(B633),0,+#REF!/B633)</f>
        <v>#REF!</v>
      </c>
      <c r="I633" s="19"/>
      <c r="J633" s="88">
        <f>IF(ISBLANK(B633),0,+J$564)</f>
        <v>130</v>
      </c>
      <c r="K633" s="42">
        <f>ROUND($B633*K$564,2)</f>
        <v>-0.04</v>
      </c>
      <c r="L633" s="92">
        <f>IF($C633&gt;L$565,ROUND(L$565*L$564,2),ROUND($C633*L$564,2))</f>
        <v>14150</v>
      </c>
      <c r="M633" s="92">
        <f>IF($C633&gt;L$565,ROUND(($C633-L$565)*M$564,2),0)</f>
        <v>0</v>
      </c>
      <c r="N633" s="92">
        <f>K633</f>
        <v>-0.04</v>
      </c>
      <c r="O633" s="42"/>
      <c r="P633" s="42"/>
      <c r="Q633" s="92">
        <f>SUM(L633:M633)</f>
        <v>14150</v>
      </c>
      <c r="R633" s="82" t="e">
        <f>ROUND(SUM(K633:M633)*(R632-1),2)</f>
        <v>#N/A</v>
      </c>
      <c r="S633" s="42">
        <f>ROUND($B633*S$564*S632,2)</f>
        <v>0</v>
      </c>
      <c r="T633" s="42">
        <f>ROUND($B633*T$564,2)</f>
        <v>0.01</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2.3699999999999997E-3</v>
      </c>
      <c r="AC633" s="94" t="str">
        <f>+F633</f>
        <v>PL2</v>
      </c>
    </row>
    <row r="634" spans="1:29" ht="13" x14ac:dyDescent="0.3">
      <c r="A634" s="9"/>
      <c r="B634" s="97">
        <v>-1</v>
      </c>
      <c r="D634" s="41"/>
      <c r="E634" s="80"/>
      <c r="F634" s="36"/>
      <c r="G634" s="42"/>
      <c r="H634" s="19"/>
      <c r="I634" s="19"/>
      <c r="J634" s="88"/>
      <c r="K634" s="42"/>
      <c r="L634" s="42"/>
      <c r="M634" s="42"/>
      <c r="N634" s="42"/>
      <c r="O634" s="42"/>
      <c r="P634" s="42"/>
      <c r="Q634" s="42"/>
      <c r="R634" s="38" t="e">
        <f>VLOOKUP((D635),'Pwr Factor'!$A$1:$B$52,2)</f>
        <v>#N/A</v>
      </c>
      <c r="S634" s="50">
        <v>0.1</v>
      </c>
      <c r="T634" s="42"/>
      <c r="U634" s="42"/>
      <c r="V634" s="41"/>
      <c r="W634" s="42"/>
      <c r="X634" s="42"/>
      <c r="Y634" s="42"/>
      <c r="Z634" s="42"/>
      <c r="AA634" s="42"/>
      <c r="AB634" s="19"/>
      <c r="AC634" s="94"/>
    </row>
    <row r="635" spans="1:29" ht="13" x14ac:dyDescent="0.3">
      <c r="A635" s="1" t="s">
        <v>164</v>
      </c>
      <c r="B635" s="103">
        <f>IF(AND('AES Indiana Bill Calc.'!$D$17="PL",'AES Indiana Bill Calc.'!$D$18="Yes 10%",'AES Indiana Bill Calc.'!$D$20="Yes 2022"),'AES Indiana Bill Calc.'!$D$19,-1)</f>
        <v>-1</v>
      </c>
      <c r="C635" s="103">
        <f>MAX(E635,$C$562)</f>
        <v>500</v>
      </c>
      <c r="D635" s="103" t="b">
        <f>IF(AND('AES Indiana Bill Calc.'!$D$17="PL",'AES Indiana Bill Calc.'!$D$18="Yes 10%",'AES Indiana Bill Calc.'!$D$20="Yes 2022"),'AES Indiana Bill Calc.'!$D$22)</f>
        <v>0</v>
      </c>
      <c r="E635" s="103" t="b">
        <f>IF(AND('AES Indiana Bill Calc.'!$D$17="PL",'AES Indiana Bill Calc.'!$D$18="Yes 10%",'AES Indiana Bill Calc.'!$D$20="Yes 2022"),'AES Indiana Bill Calc.'!$D$21)</f>
        <v>0</v>
      </c>
      <c r="F635" s="36" t="s">
        <v>218</v>
      </c>
      <c r="G635" s="42" t="e">
        <f>SUM(J635:M635,R635:AA635)</f>
        <v>#N/A</v>
      </c>
      <c r="H635" s="19" t="e">
        <f>IF(ISBLANK(B635),0,+#REF!/B635)</f>
        <v>#REF!</v>
      </c>
      <c r="I635" s="19"/>
      <c r="J635" s="88">
        <f>IF(ISBLANK(B635),0,+J$564)</f>
        <v>130</v>
      </c>
      <c r="K635" s="42">
        <f>ROUND($B635*K$564,2)</f>
        <v>-0.04</v>
      </c>
      <c r="L635" s="92">
        <f>IF($C635&gt;L$565,ROUND(L$565*L$564,2),ROUND($C635*L$564,2))</f>
        <v>14150</v>
      </c>
      <c r="M635" s="92">
        <f>IF($C635&gt;L$565,ROUND(($C635-L$565)*M$564,2),0)</f>
        <v>0</v>
      </c>
      <c r="N635" s="92">
        <f>K635</f>
        <v>-0.04</v>
      </c>
      <c r="O635" s="42"/>
      <c r="P635" s="42"/>
      <c r="Q635" s="92">
        <f>SUM(L635:M635)</f>
        <v>14150</v>
      </c>
      <c r="R635" s="82" t="e">
        <f>ROUND(SUM(K635:M635)*(R634-1),2)</f>
        <v>#N/A</v>
      </c>
      <c r="S635" s="42">
        <f>ROUND($B635*S$564*S634,2)</f>
        <v>0</v>
      </c>
      <c r="T635" s="42">
        <f>ROUND($B635*T$564,2)</f>
        <v>0.01</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2.3699999999999997E-3</v>
      </c>
      <c r="AC635" s="94" t="str">
        <f>+F635</f>
        <v>PL2</v>
      </c>
    </row>
    <row r="636" spans="1:29" ht="15" customHeight="1" x14ac:dyDescent="0.3">
      <c r="A636" s="9"/>
      <c r="B636" s="97">
        <v>-1</v>
      </c>
      <c r="D636" s="41"/>
      <c r="E636" s="80"/>
      <c r="F636" s="36"/>
      <c r="G636" s="42"/>
      <c r="H636" s="19"/>
      <c r="I636" s="19"/>
      <c r="J636" s="88"/>
      <c r="K636" s="42"/>
      <c r="L636" s="42"/>
      <c r="M636" s="42"/>
      <c r="N636" s="42"/>
      <c r="O636" s="42"/>
      <c r="P636" s="42"/>
      <c r="Q636" s="42"/>
      <c r="R636" s="38" t="e">
        <f>VLOOKUP((D637),'Pwr Factor'!$A$1:$B$52,2)</f>
        <v>#N/A</v>
      </c>
      <c r="S636" s="50">
        <v>0</v>
      </c>
      <c r="T636" s="42"/>
      <c r="U636" s="42"/>
      <c r="V636" s="41"/>
      <c r="W636" s="42"/>
      <c r="X636" s="42"/>
      <c r="Y636" s="42"/>
      <c r="Z636" s="42"/>
      <c r="AA636" s="42"/>
      <c r="AB636" s="19"/>
      <c r="AC636" s="94"/>
    </row>
    <row r="637" spans="1:29" ht="15" customHeight="1" x14ac:dyDescent="0.3">
      <c r="A637" s="1" t="s">
        <v>147</v>
      </c>
      <c r="B637" s="103">
        <f>IF(AND('AES Indiana Bill Calc.'!$D$17="PL",'AES Indiana Bill Calc.'!$D$18="No",'AES Indiana Bill Calc.'!$D$20="Yes 2022"),'AES Indiana Bill Calc.'!$D$19,-1)</f>
        <v>-1</v>
      </c>
      <c r="C637" s="103">
        <f>MAX(E637,$C$562)</f>
        <v>500</v>
      </c>
      <c r="D637" s="103" t="b">
        <f>IF(AND('AES Indiana Bill Calc.'!$D$17="PL",'AES Indiana Bill Calc.'!$D$18="No",'AES Indiana Bill Calc.'!$D$20="Yes 2022"),'AES Indiana Bill Calc.'!$D$22)</f>
        <v>0</v>
      </c>
      <c r="E637" s="103" t="b">
        <f>IF(AND('AES Indiana Bill Calc.'!$D$17="PL",'AES Indiana Bill Calc.'!$D$18="No",'AES Indiana Bill Calc.'!$D$20="Yes 2022"),'AES Indiana Bill Calc.'!$D$21)</f>
        <v>0</v>
      </c>
      <c r="F637" s="36" t="s">
        <v>218</v>
      </c>
      <c r="G637" s="42" t="e">
        <f>SUM(J637:M637,R637:AA637)</f>
        <v>#N/A</v>
      </c>
      <c r="H637" s="19" t="e">
        <f>IF(ISBLANK(B637),0,+#REF!/B637)</f>
        <v>#REF!</v>
      </c>
      <c r="I637" s="19"/>
      <c r="J637" s="88">
        <f>IF(ISBLANK(B637),0,+J$564)</f>
        <v>130</v>
      </c>
      <c r="K637" s="42">
        <f>ROUND($B637*K$564,2)</f>
        <v>-0.04</v>
      </c>
      <c r="L637" s="92">
        <f>IF($C637&gt;L$565,ROUND(L$565*L$564,2),ROUND($C637*L$564,2))</f>
        <v>14150</v>
      </c>
      <c r="M637" s="92">
        <f>IF($C637&gt;L$565,ROUND(($C637-L$565)*M$564,2),0)</f>
        <v>0</v>
      </c>
      <c r="N637" s="92">
        <f>K637</f>
        <v>-0.04</v>
      </c>
      <c r="O637" s="42"/>
      <c r="P637" s="42"/>
      <c r="Q637" s="92">
        <f>SUM(L637:M637)</f>
        <v>14150</v>
      </c>
      <c r="R637" s="82" t="e">
        <f>ROUND(SUM(K637:M637)*(R636-1),2)</f>
        <v>#N/A</v>
      </c>
      <c r="S637" s="42">
        <f>ROUND($B637*S$564*S636,2)</f>
        <v>0</v>
      </c>
      <c r="T637" s="42">
        <f>ROUND($B637*T$564,2)</f>
        <v>0.01</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2.3699999999999997E-3</v>
      </c>
      <c r="AC637" s="94" t="str">
        <f>+F637</f>
        <v>PL2</v>
      </c>
    </row>
    <row r="638" spans="1:29" ht="15" customHeight="1" x14ac:dyDescent="0.3">
      <c r="B638" s="97">
        <v>-1</v>
      </c>
      <c r="D638" s="41"/>
      <c r="E638" s="80"/>
      <c r="F638" s="36"/>
      <c r="G638" s="42"/>
      <c r="H638" s="19"/>
      <c r="I638" s="19"/>
      <c r="J638" s="88"/>
      <c r="K638" s="42"/>
      <c r="L638" s="42"/>
      <c r="M638" s="42"/>
      <c r="N638" s="42"/>
      <c r="O638" s="42"/>
      <c r="P638" s="42"/>
      <c r="Q638" s="42"/>
      <c r="R638" s="38" t="e">
        <f>VLOOKUP((D639),'Pwr Factor'!$A$1:$B$52,2)</f>
        <v>#N/A</v>
      </c>
      <c r="S638" s="50">
        <v>1</v>
      </c>
      <c r="T638" s="42"/>
      <c r="U638" s="42"/>
      <c r="V638" s="41"/>
      <c r="W638" s="42"/>
      <c r="X638" s="42"/>
      <c r="Y638" s="42"/>
      <c r="Z638" s="42"/>
      <c r="AA638" s="42"/>
      <c r="AB638" s="19"/>
      <c r="AC638" s="94"/>
    </row>
    <row r="639" spans="1:29" ht="13" x14ac:dyDescent="0.3">
      <c r="A639" s="1" t="s">
        <v>148</v>
      </c>
      <c r="B639" s="103">
        <f>IF(AND('AES Indiana Bill Calc.'!$D$17="PL",'AES Indiana Bill Calc.'!$D$18="Yes 100%",'AES Indiana Bill Calc.'!$D$20="Yes 2023"),'AES Indiana Bill Calc.'!$D$19,-1)</f>
        <v>-1</v>
      </c>
      <c r="C639" s="103">
        <f>MAX(E639,$C$562)</f>
        <v>500</v>
      </c>
      <c r="D639" s="103" t="b">
        <f>IF(AND('AES Indiana Bill Calc.'!$D$17="PL",'AES Indiana Bill Calc.'!$D$18="Yes 100%",'AES Indiana Bill Calc.'!$D$20="Yes 2023"),'AES Indiana Bill Calc.'!$D$22)</f>
        <v>0</v>
      </c>
      <c r="E639" s="103" t="b">
        <f>IF(AND('AES Indiana Bill Calc.'!$D$17="PL",'AES Indiana Bill Calc.'!$D$18="Yes 100%",'AES Indiana Bill Calc.'!$D$20="Yes 2023"),'AES Indiana Bill Calc.'!$D$21)</f>
        <v>0</v>
      </c>
      <c r="F639" s="36" t="s">
        <v>219</v>
      </c>
      <c r="G639" s="42" t="e">
        <f>SUM(J639:M639,R639:AA639)</f>
        <v>#N/A</v>
      </c>
      <c r="H639" s="19" t="e">
        <f>IF(ISBLANK(B639),0,+#REF!/B639)</f>
        <v>#REF!</v>
      </c>
      <c r="I639" s="19"/>
      <c r="J639" s="88">
        <f>IF(ISBLANK(B639),0,+J$564)</f>
        <v>130</v>
      </c>
      <c r="K639" s="42">
        <f>ROUND($B639*K$564,2)</f>
        <v>-0.04</v>
      </c>
      <c r="L639" s="92">
        <f>IF($C639&gt;L$565,ROUND(L$565*L$564,2),ROUND($C639*L$564,2))</f>
        <v>14150</v>
      </c>
      <c r="M639" s="92">
        <f>IF($C639&gt;L$565,ROUND(($C639-L$565)*M$564,2),0)</f>
        <v>0</v>
      </c>
      <c r="N639" s="92">
        <f>K639</f>
        <v>-0.04</v>
      </c>
      <c r="O639" s="42"/>
      <c r="P639" s="42"/>
      <c r="Q639" s="92">
        <f>SUM(L639:M639)</f>
        <v>14150</v>
      </c>
      <c r="R639" s="82" t="e">
        <f>ROUND(SUM(K639:M639)*(R638-1),2)</f>
        <v>#N/A</v>
      </c>
      <c r="S639" s="42">
        <f>ROUND($B639*S$564*S638,2)</f>
        <v>0</v>
      </c>
      <c r="T639" s="42">
        <f>ROUND($B639*T$564,2)</f>
        <v>0.01</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2.3699999999999997E-3</v>
      </c>
      <c r="AC639" s="94" t="str">
        <f>+F639</f>
        <v>PL3</v>
      </c>
    </row>
    <row r="640" spans="1:29" ht="13" x14ac:dyDescent="0.3">
      <c r="A640" s="9"/>
      <c r="B640" s="97">
        <v>-1</v>
      </c>
      <c r="D640" s="41"/>
      <c r="E640" s="80"/>
      <c r="F640" s="36"/>
      <c r="G640" s="42"/>
      <c r="H640" s="19"/>
      <c r="I640" s="19"/>
      <c r="J640" s="88"/>
      <c r="K640" s="42"/>
      <c r="L640" s="42"/>
      <c r="M640" s="42"/>
      <c r="N640" s="42"/>
      <c r="O640" s="42"/>
      <c r="P640" s="42"/>
      <c r="Q640" s="42"/>
      <c r="R640" s="38" t="e">
        <f>VLOOKUP((D641),'Pwr Factor'!$A$1:$B$52,2)</f>
        <v>#N/A</v>
      </c>
      <c r="S640" s="50">
        <v>0.5</v>
      </c>
      <c r="T640" s="42"/>
      <c r="U640" s="42"/>
      <c r="V640" s="41"/>
      <c r="W640" s="42"/>
      <c r="X640" s="42"/>
      <c r="Y640" s="42"/>
      <c r="Z640" s="42"/>
      <c r="AA640" s="42"/>
      <c r="AB640" s="19"/>
      <c r="AC640" s="94"/>
    </row>
    <row r="641" spans="1:29" ht="13" x14ac:dyDescent="0.3">
      <c r="A641" s="1" t="s">
        <v>149</v>
      </c>
      <c r="B641" s="103">
        <f>IF(AND('AES Indiana Bill Calc.'!$D$17="PL",'AES Indiana Bill Calc.'!$D$18="Yes 50%",'AES Indiana Bill Calc.'!$D$20="Yes 2023"),'AES Indiana Bill Calc.'!$D$19,-1)</f>
        <v>-1</v>
      </c>
      <c r="C641" s="103">
        <f>MAX(E641,$C$562)</f>
        <v>500</v>
      </c>
      <c r="D641" s="103" t="b">
        <f>IF(AND('AES Indiana Bill Calc.'!$D$17="PL",'AES Indiana Bill Calc.'!$D$18="Yes 50%",'AES Indiana Bill Calc.'!$D$20="Yes 2023"),'AES Indiana Bill Calc.'!$D$22)</f>
        <v>0</v>
      </c>
      <c r="E641" s="103" t="b">
        <f>IF(AND('AES Indiana Bill Calc.'!$D$17="PL",'AES Indiana Bill Calc.'!$D$18="Yes 50%",'AES Indiana Bill Calc.'!$D$20="Yes 2023"),'AES Indiana Bill Calc.'!$D$21)</f>
        <v>0</v>
      </c>
      <c r="F641" s="36" t="s">
        <v>219</v>
      </c>
      <c r="G641" s="42" t="e">
        <f>SUM(J641:M641,R641:AA641)</f>
        <v>#N/A</v>
      </c>
      <c r="H641" s="19" t="e">
        <f>IF(ISBLANK(B641),0,+#REF!/B641)</f>
        <v>#REF!</v>
      </c>
      <c r="I641" s="19"/>
      <c r="J641" s="88">
        <f>IF(ISBLANK(B641),0,+J$564)</f>
        <v>130</v>
      </c>
      <c r="K641" s="42">
        <f>ROUND($B641*K$564,2)</f>
        <v>-0.04</v>
      </c>
      <c r="L641" s="92">
        <f>IF($C641&gt;L$565,ROUND(L$565*L$564,2),ROUND($C641*L$564,2))</f>
        <v>14150</v>
      </c>
      <c r="M641" s="92">
        <f>IF($C641&gt;L$565,ROUND(($C641-L$565)*M$564,2),0)</f>
        <v>0</v>
      </c>
      <c r="N641" s="92">
        <f>K641</f>
        <v>-0.04</v>
      </c>
      <c r="O641" s="42"/>
      <c r="P641" s="42"/>
      <c r="Q641" s="92">
        <f>SUM(L641:M641)</f>
        <v>14150</v>
      </c>
      <c r="R641" s="82" t="e">
        <f>ROUND(SUM(K641:M641)*(R640-1),2)</f>
        <v>#N/A</v>
      </c>
      <c r="S641" s="42">
        <f>ROUND($B641*S$564*S640,2)</f>
        <v>0</v>
      </c>
      <c r="T641" s="42">
        <f>ROUND($B641*T$564,2)</f>
        <v>0.01</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2.3699999999999997E-3</v>
      </c>
      <c r="AC641" s="94" t="str">
        <f>+F641</f>
        <v>PL3</v>
      </c>
    </row>
    <row r="642" spans="1:29" ht="13" x14ac:dyDescent="0.3">
      <c r="A642" s="9"/>
      <c r="B642" s="97">
        <v>-1</v>
      </c>
      <c r="D642" s="41"/>
      <c r="E642" s="80"/>
      <c r="F642" s="36"/>
      <c r="G642" s="42"/>
      <c r="H642" s="19"/>
      <c r="I642" s="19"/>
      <c r="J642" s="88"/>
      <c r="K642" s="42"/>
      <c r="L642" s="42"/>
      <c r="M642" s="42"/>
      <c r="N642" s="42"/>
      <c r="O642" s="42"/>
      <c r="P642" s="42"/>
      <c r="Q642" s="42"/>
      <c r="R642" s="38" t="e">
        <f>VLOOKUP((D643),'Pwr Factor'!$A$1:$B$52,2)</f>
        <v>#N/A</v>
      </c>
      <c r="S642" s="50">
        <v>0.25</v>
      </c>
      <c r="T642" s="42"/>
      <c r="U642" s="42"/>
      <c r="V642" s="41"/>
      <c r="W642" s="42"/>
      <c r="X642" s="42"/>
      <c r="Y642" s="42"/>
      <c r="Z642" s="42"/>
      <c r="AA642" s="42"/>
      <c r="AB642" s="19"/>
      <c r="AC642" s="94"/>
    </row>
    <row r="643" spans="1:29" ht="13" x14ac:dyDescent="0.3">
      <c r="A643" s="1" t="s">
        <v>150</v>
      </c>
      <c r="B643" s="103">
        <f>IF(AND('AES Indiana Bill Calc.'!$D$17="PL",'AES Indiana Bill Calc.'!$D$18="Yes 25%",'AES Indiana Bill Calc.'!$D$20="Yes 2023"),'AES Indiana Bill Calc.'!$D$19,-1)</f>
        <v>-1</v>
      </c>
      <c r="C643" s="103">
        <f>MAX(E643,$C$562)</f>
        <v>500</v>
      </c>
      <c r="D643" s="103" t="b">
        <f>IF(AND('AES Indiana Bill Calc.'!$D$17="PL",'AES Indiana Bill Calc.'!$D$18="Yes 25%",'AES Indiana Bill Calc.'!$D$20="Yes 2023"),'AES Indiana Bill Calc.'!$D$22)</f>
        <v>0</v>
      </c>
      <c r="E643" s="103" t="b">
        <f>IF(AND('AES Indiana Bill Calc.'!$D$17="PL",'AES Indiana Bill Calc.'!$D$18="Yes 25%",'AES Indiana Bill Calc.'!$D$20="Yes 2023"),'AES Indiana Bill Calc.'!$D$21)</f>
        <v>0</v>
      </c>
      <c r="F643" s="36" t="s">
        <v>219</v>
      </c>
      <c r="G643" s="42" t="e">
        <f>SUM(J643:M643,R643:AA643)</f>
        <v>#N/A</v>
      </c>
      <c r="H643" s="19" t="e">
        <f>IF(ISBLANK(B643),0,+#REF!/B643)</f>
        <v>#REF!</v>
      </c>
      <c r="I643" s="19"/>
      <c r="J643" s="88">
        <f>IF(ISBLANK(B643),0,+J$564)</f>
        <v>130</v>
      </c>
      <c r="K643" s="42">
        <f>ROUND($B643*K$564,2)</f>
        <v>-0.04</v>
      </c>
      <c r="L643" s="92">
        <f>IF($C643&gt;L$565,ROUND(L$565*L$564,2),ROUND($C643*L$564,2))</f>
        <v>14150</v>
      </c>
      <c r="M643" s="92">
        <f>IF($C643&gt;L$565,ROUND(($C643-L$565)*M$564,2),0)</f>
        <v>0</v>
      </c>
      <c r="N643" s="92">
        <f>K643</f>
        <v>-0.04</v>
      </c>
      <c r="O643" s="42"/>
      <c r="P643" s="42"/>
      <c r="Q643" s="92">
        <f>SUM(L643:M643)</f>
        <v>14150</v>
      </c>
      <c r="R643" s="82" t="e">
        <f>ROUND(SUM(K643:M643)*(R642-1),2)</f>
        <v>#N/A</v>
      </c>
      <c r="S643" s="42">
        <f>ROUND($B643*S$564*S642,2)</f>
        <v>0</v>
      </c>
      <c r="T643" s="42">
        <f>ROUND($B643*T$564,2)</f>
        <v>0.01</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2.3699999999999997E-3</v>
      </c>
      <c r="AC643" s="94" t="str">
        <f>+F643</f>
        <v>PL3</v>
      </c>
    </row>
    <row r="644" spans="1:29" ht="13" x14ac:dyDescent="0.3">
      <c r="A644" s="9"/>
      <c r="B644" s="97">
        <v>-1</v>
      </c>
      <c r="D644" s="41"/>
      <c r="E644" s="80"/>
      <c r="F644" s="36"/>
      <c r="G644" s="42"/>
      <c r="H644" s="19"/>
      <c r="I644" s="19"/>
      <c r="J644" s="88"/>
      <c r="K644" s="42"/>
      <c r="L644" s="42"/>
      <c r="M644" s="42"/>
      <c r="N644" s="42"/>
      <c r="O644" s="42"/>
      <c r="P644" s="42"/>
      <c r="Q644" s="42"/>
      <c r="R644" s="38" t="e">
        <f>VLOOKUP((D645),'Pwr Factor'!$A$1:$B$52,2)</f>
        <v>#N/A</v>
      </c>
      <c r="S644" s="50">
        <v>0.1</v>
      </c>
      <c r="T644" s="42"/>
      <c r="U644" s="42"/>
      <c r="V644" s="41"/>
      <c r="W644" s="42"/>
      <c r="X644" s="42"/>
      <c r="Y644" s="42"/>
      <c r="Z644" s="42"/>
      <c r="AA644" s="42"/>
      <c r="AB644" s="19"/>
      <c r="AC644" s="94"/>
    </row>
    <row r="645" spans="1:29" ht="13" x14ac:dyDescent="0.3">
      <c r="A645" s="1" t="s">
        <v>164</v>
      </c>
      <c r="B645" s="103">
        <f>IF(AND('AES Indiana Bill Calc.'!$D$17="PL",'AES Indiana Bill Calc.'!$D$18="Yes 10%",'AES Indiana Bill Calc.'!$D$20="Yes 2023"),'AES Indiana Bill Calc.'!$D$19,-1)</f>
        <v>-1</v>
      </c>
      <c r="C645" s="103">
        <f>MAX(E645,$C$562)</f>
        <v>500</v>
      </c>
      <c r="D645" s="103" t="b">
        <f>IF(AND('AES Indiana Bill Calc.'!$D$17="PL",'AES Indiana Bill Calc.'!$D$18="Yes 10%",'AES Indiana Bill Calc.'!$D$20="Yes 2023"),'AES Indiana Bill Calc.'!$D$22)</f>
        <v>0</v>
      </c>
      <c r="E645" s="103" t="b">
        <f>IF(AND('AES Indiana Bill Calc.'!$D$17="PL",'AES Indiana Bill Calc.'!$D$18="Yes 10%",'AES Indiana Bill Calc.'!$D$20="Yes 2023"),'AES Indiana Bill Calc.'!$D$21)</f>
        <v>0</v>
      </c>
      <c r="F645" s="36" t="s">
        <v>219</v>
      </c>
      <c r="G645" s="42" t="e">
        <f>SUM(J645:M645,R645:AA645)</f>
        <v>#N/A</v>
      </c>
      <c r="H645" s="19" t="e">
        <f>IF(ISBLANK(B645),0,+#REF!/B645)</f>
        <v>#REF!</v>
      </c>
      <c r="I645" s="19"/>
      <c r="J645" s="88">
        <f>IF(ISBLANK(B645),0,+J$564)</f>
        <v>130</v>
      </c>
      <c r="K645" s="42">
        <f>ROUND($B645*K$564,2)</f>
        <v>-0.04</v>
      </c>
      <c r="L645" s="92">
        <f>IF($C645&gt;L$565,ROUND(L$565*L$564,2),ROUND($C645*L$564,2))</f>
        <v>14150</v>
      </c>
      <c r="M645" s="92">
        <f>IF($C645&gt;L$565,ROUND(($C645-L$565)*M$564,2),0)</f>
        <v>0</v>
      </c>
      <c r="N645" s="92">
        <f>K645</f>
        <v>-0.04</v>
      </c>
      <c r="O645" s="42"/>
      <c r="P645" s="42"/>
      <c r="Q645" s="92">
        <f>SUM(L645:M645)</f>
        <v>14150</v>
      </c>
      <c r="R645" s="82" t="e">
        <f>ROUND(SUM(K645:M645)*(R644-1),2)</f>
        <v>#N/A</v>
      </c>
      <c r="S645" s="42">
        <f>ROUND($B645*S$564*S644,2)</f>
        <v>0</v>
      </c>
      <c r="T645" s="42">
        <f>ROUND($B645*T$564,2)</f>
        <v>0.01</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2.3699999999999997E-3</v>
      </c>
      <c r="AC645" s="94" t="str">
        <f>+F645</f>
        <v>PL3</v>
      </c>
    </row>
    <row r="646" spans="1:29" ht="13" x14ac:dyDescent="0.3">
      <c r="A646" s="9"/>
      <c r="B646" s="97">
        <v>-1</v>
      </c>
      <c r="D646" s="41"/>
      <c r="E646" s="80"/>
      <c r="F646" s="36"/>
      <c r="G646" s="42"/>
      <c r="H646" s="19"/>
      <c r="I646" s="19"/>
      <c r="J646" s="88"/>
      <c r="K646" s="42"/>
      <c r="L646" s="42"/>
      <c r="M646" s="42"/>
      <c r="N646" s="42"/>
      <c r="O646" s="42"/>
      <c r="P646" s="42"/>
      <c r="Q646" s="42"/>
      <c r="R646" s="38" t="e">
        <f>VLOOKUP((D647),'Pwr Factor'!$A$1:$B$52,2)</f>
        <v>#N/A</v>
      </c>
      <c r="S646" s="50">
        <v>0</v>
      </c>
      <c r="T646" s="42"/>
      <c r="U646" s="42"/>
      <c r="V646" s="41"/>
      <c r="W646" s="42"/>
      <c r="X646" s="42"/>
      <c r="Y646" s="42"/>
      <c r="Z646" s="42"/>
      <c r="AA646" s="42"/>
      <c r="AB646" s="19"/>
      <c r="AC646" s="94"/>
    </row>
    <row r="647" spans="1:29" ht="13" x14ac:dyDescent="0.3">
      <c r="A647" s="1" t="s">
        <v>147</v>
      </c>
      <c r="B647" s="103">
        <f>IF(AND('AES Indiana Bill Calc.'!$D$17="PL",'AES Indiana Bill Calc.'!$D$18="No",'AES Indiana Bill Calc.'!$D$20="Yes 2023"),'AES Indiana Bill Calc.'!$D$19,-1)</f>
        <v>-1</v>
      </c>
      <c r="C647" s="103">
        <f>MAX(E647,$C$562)</f>
        <v>500</v>
      </c>
      <c r="D647" s="103" t="b">
        <f>IF(AND('AES Indiana Bill Calc.'!$D$17="PL",'AES Indiana Bill Calc.'!$D$18="No",'AES Indiana Bill Calc.'!$D$20="Yes 2023"),'AES Indiana Bill Calc.'!$D$22)</f>
        <v>0</v>
      </c>
      <c r="E647" s="103" t="b">
        <f>IF(AND('AES Indiana Bill Calc.'!$D$17="PL",'AES Indiana Bill Calc.'!$D$18="No",'AES Indiana Bill Calc.'!$D$20="Yes 2023"),'AES Indiana Bill Calc.'!$D$21)</f>
        <v>0</v>
      </c>
      <c r="F647" s="36" t="s">
        <v>219</v>
      </c>
      <c r="G647" s="42" t="e">
        <f>SUM(J647:M647,R647:AA647)</f>
        <v>#N/A</v>
      </c>
      <c r="H647" s="19" t="e">
        <f>IF(ISBLANK(B647),0,+#REF!/B647)</f>
        <v>#REF!</v>
      </c>
      <c r="I647" s="19"/>
      <c r="J647" s="88">
        <f>IF(ISBLANK(B647),0,+J$564)</f>
        <v>130</v>
      </c>
      <c r="K647" s="42">
        <f>ROUND($B647*K$564,2)</f>
        <v>-0.04</v>
      </c>
      <c r="L647" s="92">
        <f>IF($C647&gt;L$565,ROUND(L$565*L$564,2),ROUND($C647*L$564,2))</f>
        <v>14150</v>
      </c>
      <c r="M647" s="92">
        <f>IF($C647&gt;L$565,ROUND(($C647-L$565)*M$564,2),0)</f>
        <v>0</v>
      </c>
      <c r="N647" s="92">
        <f>K647</f>
        <v>-0.04</v>
      </c>
      <c r="O647" s="42"/>
      <c r="P647" s="42"/>
      <c r="Q647" s="92">
        <f>SUM(L647:M647)</f>
        <v>14150</v>
      </c>
      <c r="R647" s="82" t="e">
        <f>ROUND(SUM(K647:M647)*(R646-1),2)</f>
        <v>#N/A</v>
      </c>
      <c r="S647" s="42">
        <f>ROUND($B647*S$564*S646,2)</f>
        <v>0</v>
      </c>
      <c r="T647" s="42">
        <f>ROUND($B647*T$564,2)</f>
        <v>0.01</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2.3699999999999997E-3</v>
      </c>
      <c r="AC647" s="94" t="str">
        <f>+F647</f>
        <v>PL3</v>
      </c>
    </row>
    <row r="648" spans="1:29" ht="15" customHeight="1" x14ac:dyDescent="0.3">
      <c r="B648" s="97">
        <v>-1</v>
      </c>
      <c r="D648" s="41"/>
      <c r="E648" s="80"/>
      <c r="F648" s="36"/>
      <c r="G648" s="42"/>
      <c r="H648" s="19"/>
      <c r="I648" s="19"/>
      <c r="J648" s="88"/>
      <c r="K648" s="42"/>
      <c r="L648" s="42"/>
      <c r="M648" s="42"/>
      <c r="N648" s="42"/>
      <c r="O648" s="42"/>
      <c r="P648" s="42"/>
      <c r="Q648" s="42"/>
      <c r="R648" s="38" t="e">
        <f>VLOOKUP((D649),'Pwr Factor'!$A$1:$B$52,2)</f>
        <v>#N/A</v>
      </c>
      <c r="S648" s="50">
        <v>1</v>
      </c>
      <c r="T648" s="42"/>
      <c r="U648" s="42"/>
      <c r="V648" s="41"/>
      <c r="W648" s="42"/>
      <c r="X648" s="42"/>
      <c r="Y648" s="42"/>
      <c r="Z648" s="42"/>
      <c r="AA648" s="42"/>
      <c r="AB648" s="19"/>
      <c r="AC648" s="94"/>
    </row>
    <row r="649" spans="1:29" ht="13" x14ac:dyDescent="0.3">
      <c r="A649" s="1" t="s">
        <v>148</v>
      </c>
      <c r="B649" s="103">
        <f>IF(AND('AES Indiana Bill Calc.'!$D$17="PL",'AES Indiana Bill Calc.'!$D$18="Yes 100%",'AES Indiana Bill Calc.'!$D$20="Yes 2024"),'AES Indiana Bill Calc.'!$D$19,-1)</f>
        <v>-1</v>
      </c>
      <c r="C649" s="103">
        <f>MAX(E649,$C$562)</f>
        <v>500</v>
      </c>
      <c r="D649" s="103" t="b">
        <f>IF(AND('AES Indiana Bill Calc.'!$D$17="PL",'AES Indiana Bill Calc.'!$D$18="Yes 100%",'AES Indiana Bill Calc.'!$D$20="Yes 2024"),'AES Indiana Bill Calc.'!$D$22)</f>
        <v>0</v>
      </c>
      <c r="E649" s="103" t="b">
        <f>IF(AND('AES Indiana Bill Calc.'!$D$17="PL",'AES Indiana Bill Calc.'!$D$18="Yes 100%",'AES Indiana Bill Calc.'!$D$20="Yes 2024"),'AES Indiana Bill Calc.'!$D$21)</f>
        <v>0</v>
      </c>
      <c r="F649" s="36" t="s">
        <v>305</v>
      </c>
      <c r="G649" s="42" t="e">
        <f>SUM(J649:M649,R649:AA649)</f>
        <v>#N/A</v>
      </c>
      <c r="H649" s="19" t="e">
        <f>IF(ISBLANK(B649),0,+#REF!/B649)</f>
        <v>#REF!</v>
      </c>
      <c r="I649" s="19"/>
      <c r="J649" s="88">
        <f>IF(ISBLANK(B649),0,+J$564)</f>
        <v>130</v>
      </c>
      <c r="K649" s="42">
        <f>ROUND($B649*K$564,2)</f>
        <v>-0.04</v>
      </c>
      <c r="L649" s="92">
        <f>IF($C649&gt;L$565,ROUND(L$565*L$564,2),ROUND($C649*L$564,2))</f>
        <v>14150</v>
      </c>
      <c r="M649" s="92">
        <f>IF($C649&gt;L$565,ROUND(($C649-L$565)*M$564,2),0)</f>
        <v>0</v>
      </c>
      <c r="N649" s="92">
        <f>K649</f>
        <v>-0.04</v>
      </c>
      <c r="O649" s="42"/>
      <c r="P649" s="42"/>
      <c r="Q649" s="92">
        <f>SUM(L649:M649)</f>
        <v>14150</v>
      </c>
      <c r="R649" s="82" t="e">
        <f>ROUND(SUM(K649:M649)*(R648-1),2)</f>
        <v>#N/A</v>
      </c>
      <c r="S649" s="42">
        <f>ROUND($B649*S$564*S648,2)</f>
        <v>0</v>
      </c>
      <c r="T649" s="42">
        <f>ROUND($B649*T$564,2)</f>
        <v>0.01</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2.3699999999999997E-3</v>
      </c>
      <c r="AC649" s="94" t="str">
        <f>+F649</f>
        <v>PL4</v>
      </c>
    </row>
    <row r="650" spans="1:29" ht="13" x14ac:dyDescent="0.3">
      <c r="A650" s="9"/>
      <c r="B650" s="97">
        <v>-1</v>
      </c>
      <c r="D650" s="41"/>
      <c r="E650" s="80"/>
      <c r="F650" s="36"/>
      <c r="G650" s="42"/>
      <c r="H650" s="19"/>
      <c r="I650" s="19"/>
      <c r="J650" s="88"/>
      <c r="K650" s="42"/>
      <c r="L650" s="42"/>
      <c r="M650" s="42"/>
      <c r="N650" s="42"/>
      <c r="O650" s="42"/>
      <c r="P650" s="42"/>
      <c r="Q650" s="42"/>
      <c r="R650" s="38" t="e">
        <f>VLOOKUP((D651),'Pwr Factor'!$A$1:$B$52,2)</f>
        <v>#N/A</v>
      </c>
      <c r="S650" s="50">
        <v>0.5</v>
      </c>
      <c r="T650" s="42"/>
      <c r="U650" s="42"/>
      <c r="V650" s="41"/>
      <c r="W650" s="42"/>
      <c r="X650" s="42"/>
      <c r="Y650" s="42"/>
      <c r="Z650" s="42"/>
      <c r="AA650" s="42"/>
      <c r="AB650" s="19"/>
      <c r="AC650" s="94"/>
    </row>
    <row r="651" spans="1:29" ht="13" x14ac:dyDescent="0.3">
      <c r="A651" s="1" t="s">
        <v>149</v>
      </c>
      <c r="B651" s="103">
        <f>IF(AND('AES Indiana Bill Calc.'!$D$17="PL",'AES Indiana Bill Calc.'!$D$18="Yes 50%",'AES Indiana Bill Calc.'!$D$20="Yes 2024"),'AES Indiana Bill Calc.'!$D$19,-1)</f>
        <v>-1</v>
      </c>
      <c r="C651" s="103">
        <f>MAX(E651,$C$562)</f>
        <v>500</v>
      </c>
      <c r="D651" s="103" t="b">
        <f>IF(AND('AES Indiana Bill Calc.'!$D$17="PL",'AES Indiana Bill Calc.'!$D$18="Yes 50%",'AES Indiana Bill Calc.'!$D$20="Yes 2024"),'AES Indiana Bill Calc.'!$D$22)</f>
        <v>0</v>
      </c>
      <c r="E651" s="103" t="b">
        <f>IF(AND('AES Indiana Bill Calc.'!$D$17="PL",'AES Indiana Bill Calc.'!$D$18="Yes 50%",'AES Indiana Bill Calc.'!$D$20="Yes 2024"),'AES Indiana Bill Calc.'!$D$21)</f>
        <v>0</v>
      </c>
      <c r="F651" s="36" t="s">
        <v>305</v>
      </c>
      <c r="G651" s="42" t="e">
        <f>SUM(J651:M651,R651:AA651)</f>
        <v>#N/A</v>
      </c>
      <c r="H651" s="19" t="e">
        <f>IF(ISBLANK(B651),0,+#REF!/B651)</f>
        <v>#REF!</v>
      </c>
      <c r="I651" s="19"/>
      <c r="J651" s="88">
        <f>IF(ISBLANK(B651),0,+J$564)</f>
        <v>130</v>
      </c>
      <c r="K651" s="42">
        <f>ROUND($B651*K$564,2)</f>
        <v>-0.04</v>
      </c>
      <c r="L651" s="92">
        <f>IF($C651&gt;L$565,ROUND(L$565*L$564,2),ROUND($C651*L$564,2))</f>
        <v>14150</v>
      </c>
      <c r="M651" s="92">
        <f>IF($C651&gt;L$565,ROUND(($C651-L$565)*M$564,2),0)</f>
        <v>0</v>
      </c>
      <c r="N651" s="92">
        <f>K651</f>
        <v>-0.04</v>
      </c>
      <c r="O651" s="42"/>
      <c r="P651" s="42"/>
      <c r="Q651" s="92">
        <f>SUM(L651:M651)</f>
        <v>14150</v>
      </c>
      <c r="R651" s="82" t="e">
        <f>ROUND(SUM(K651:M651)*(R650-1),2)</f>
        <v>#N/A</v>
      </c>
      <c r="S651" s="42">
        <f>ROUND($B651*S$564*S650,2)</f>
        <v>0</v>
      </c>
      <c r="T651" s="42">
        <f>ROUND($B651*T$564,2)</f>
        <v>0.01</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2.3699999999999997E-3</v>
      </c>
      <c r="AC651" s="94" t="str">
        <f>+F651</f>
        <v>PL4</v>
      </c>
    </row>
    <row r="652" spans="1:29" ht="13" x14ac:dyDescent="0.3">
      <c r="A652" s="9"/>
      <c r="B652" s="97">
        <v>-1</v>
      </c>
      <c r="D652" s="41"/>
      <c r="E652" s="80"/>
      <c r="F652" s="36"/>
      <c r="G652" s="42"/>
      <c r="H652" s="19"/>
      <c r="I652" s="19"/>
      <c r="J652" s="88"/>
      <c r="K652" s="42"/>
      <c r="L652" s="42"/>
      <c r="M652" s="42"/>
      <c r="N652" s="42"/>
      <c r="O652" s="42"/>
      <c r="P652" s="42"/>
      <c r="Q652" s="42"/>
      <c r="R652" s="38" t="e">
        <f>VLOOKUP((D653),'Pwr Factor'!$A$1:$B$52,2)</f>
        <v>#N/A</v>
      </c>
      <c r="S652" s="50">
        <v>0.25</v>
      </c>
      <c r="T652" s="42"/>
      <c r="U652" s="42"/>
      <c r="V652" s="41"/>
      <c r="W652" s="42"/>
      <c r="X652" s="42"/>
      <c r="Y652" s="42"/>
      <c r="Z652" s="42"/>
      <c r="AA652" s="42"/>
      <c r="AB652" s="19"/>
      <c r="AC652" s="94"/>
    </row>
    <row r="653" spans="1:29" ht="13" x14ac:dyDescent="0.3">
      <c r="A653" s="1" t="s">
        <v>150</v>
      </c>
      <c r="B653" s="103">
        <f>IF(AND('AES Indiana Bill Calc.'!$D$17="PL",'AES Indiana Bill Calc.'!$D$18="Yes 25%",'AES Indiana Bill Calc.'!$D$20="Yes 2024"),'AES Indiana Bill Calc.'!$D$19,-1)</f>
        <v>-1</v>
      </c>
      <c r="C653" s="103">
        <f>MAX(E653,$C$562)</f>
        <v>500</v>
      </c>
      <c r="D653" s="103" t="b">
        <f>IF(AND('AES Indiana Bill Calc.'!$D$17="PL",'AES Indiana Bill Calc.'!$D$18="Yes 25%",'AES Indiana Bill Calc.'!$D$20="Yes 2024"),'AES Indiana Bill Calc.'!$D$22)</f>
        <v>0</v>
      </c>
      <c r="E653" s="103" t="b">
        <f>IF(AND('AES Indiana Bill Calc.'!$D$17="PL",'AES Indiana Bill Calc.'!$D$18="Yes 25%",'AES Indiana Bill Calc.'!$D$20="Yes 2024"),'AES Indiana Bill Calc.'!$D$21)</f>
        <v>0</v>
      </c>
      <c r="F653" s="36" t="s">
        <v>305</v>
      </c>
      <c r="G653" s="42" t="e">
        <f>SUM(J653:M653,R653:AA653)</f>
        <v>#N/A</v>
      </c>
      <c r="H653" s="19" t="e">
        <f>IF(ISBLANK(B653),0,+#REF!/B653)</f>
        <v>#REF!</v>
      </c>
      <c r="I653" s="19"/>
      <c r="J653" s="88">
        <f>IF(ISBLANK(B653),0,+J$564)</f>
        <v>130</v>
      </c>
      <c r="K653" s="42">
        <f>ROUND($B653*K$564,2)</f>
        <v>-0.04</v>
      </c>
      <c r="L653" s="92">
        <f>IF($C653&gt;L$565,ROUND(L$565*L$564,2),ROUND($C653*L$564,2))</f>
        <v>14150</v>
      </c>
      <c r="M653" s="92">
        <f>IF($C653&gt;L$565,ROUND(($C653-L$565)*M$564,2),0)</f>
        <v>0</v>
      </c>
      <c r="N653" s="92">
        <f>K653</f>
        <v>-0.04</v>
      </c>
      <c r="O653" s="42"/>
      <c r="P653" s="42"/>
      <c r="Q653" s="92">
        <f>SUM(L653:M653)</f>
        <v>14150</v>
      </c>
      <c r="R653" s="82" t="e">
        <f>ROUND(SUM(K653:M653)*(R652-1),2)</f>
        <v>#N/A</v>
      </c>
      <c r="S653" s="42">
        <f>ROUND($B653*S$564*S652,2)</f>
        <v>0</v>
      </c>
      <c r="T653" s="42">
        <f>ROUND($B653*T$564,2)</f>
        <v>0.01</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2.3699999999999997E-3</v>
      </c>
      <c r="AC653" s="94" t="str">
        <f>+F653</f>
        <v>PL4</v>
      </c>
    </row>
    <row r="654" spans="1:29" ht="13" x14ac:dyDescent="0.3">
      <c r="A654" s="9"/>
      <c r="B654" s="97">
        <v>-1</v>
      </c>
      <c r="D654" s="41"/>
      <c r="E654" s="80"/>
      <c r="F654" s="36"/>
      <c r="G654" s="42"/>
      <c r="H654" s="19"/>
      <c r="I654" s="19"/>
      <c r="J654" s="88"/>
      <c r="K654" s="42"/>
      <c r="L654" s="42"/>
      <c r="M654" s="42"/>
      <c r="N654" s="42"/>
      <c r="O654" s="42"/>
      <c r="P654" s="42"/>
      <c r="Q654" s="42"/>
      <c r="R654" s="38" t="e">
        <f>VLOOKUP((D655),'Pwr Factor'!$A$1:$B$52,2)</f>
        <v>#N/A</v>
      </c>
      <c r="S654" s="50">
        <v>0.1</v>
      </c>
      <c r="T654" s="42"/>
      <c r="U654" s="42"/>
      <c r="V654" s="41"/>
      <c r="W654" s="42"/>
      <c r="X654" s="42"/>
      <c r="Y654" s="42"/>
      <c r="Z654" s="42"/>
      <c r="AA654" s="42"/>
      <c r="AB654" s="19"/>
      <c r="AC654" s="94"/>
    </row>
    <row r="655" spans="1:29" ht="13" x14ac:dyDescent="0.3">
      <c r="A655" s="1" t="s">
        <v>164</v>
      </c>
      <c r="B655" s="103">
        <f>IF(AND('AES Indiana Bill Calc.'!$D$17="PL",'AES Indiana Bill Calc.'!$D$18="Yes 10%",'AES Indiana Bill Calc.'!$D$20="Yes 2024"),'AES Indiana Bill Calc.'!$D$19,-1)</f>
        <v>-1</v>
      </c>
      <c r="C655" s="103">
        <f>MAX(E655,$C$562)</f>
        <v>500</v>
      </c>
      <c r="D655" s="103" t="b">
        <f>IF(AND('AES Indiana Bill Calc.'!$D$17="PL",'AES Indiana Bill Calc.'!$D$18="Yes 10%",'AES Indiana Bill Calc.'!$D$20="Yes 2024"),'AES Indiana Bill Calc.'!$D$22)</f>
        <v>0</v>
      </c>
      <c r="E655" s="103" t="b">
        <f>IF(AND('AES Indiana Bill Calc.'!$D$17="PL",'AES Indiana Bill Calc.'!$D$18="Yes 10%",'AES Indiana Bill Calc.'!$D$20="Yes 2024"),'AES Indiana Bill Calc.'!$D$21)</f>
        <v>0</v>
      </c>
      <c r="F655" s="36" t="s">
        <v>305</v>
      </c>
      <c r="G655" s="42" t="e">
        <f>SUM(J655:M655,R655:AA655)</f>
        <v>#N/A</v>
      </c>
      <c r="H655" s="19" t="e">
        <f>IF(ISBLANK(B655),0,+#REF!/B655)</f>
        <v>#REF!</v>
      </c>
      <c r="I655" s="19"/>
      <c r="J655" s="88">
        <f>IF(ISBLANK(B655),0,+J$564)</f>
        <v>130</v>
      </c>
      <c r="K655" s="42">
        <f>ROUND($B655*K$564,2)</f>
        <v>-0.04</v>
      </c>
      <c r="L655" s="92">
        <f>IF($C655&gt;L$565,ROUND(L$565*L$564,2),ROUND($C655*L$564,2))</f>
        <v>14150</v>
      </c>
      <c r="M655" s="92">
        <f>IF($C655&gt;L$565,ROUND(($C655-L$565)*M$564,2),0)</f>
        <v>0</v>
      </c>
      <c r="N655" s="92">
        <f>K655</f>
        <v>-0.04</v>
      </c>
      <c r="O655" s="42"/>
      <c r="P655" s="42"/>
      <c r="Q655" s="92">
        <f>SUM(L655:M655)</f>
        <v>14150</v>
      </c>
      <c r="R655" s="82" t="e">
        <f>ROUND(SUM(K655:M655)*(R654-1),2)</f>
        <v>#N/A</v>
      </c>
      <c r="S655" s="42">
        <f>ROUND($B655*S$564*S654,2)</f>
        <v>0</v>
      </c>
      <c r="T655" s="42">
        <f>ROUND($B655*T$564,2)</f>
        <v>0.01</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2.3699999999999997E-3</v>
      </c>
      <c r="AC655" s="94" t="str">
        <f>+F655</f>
        <v>PL4</v>
      </c>
    </row>
    <row r="656" spans="1:29" ht="13" x14ac:dyDescent="0.3">
      <c r="A656" s="9"/>
      <c r="B656" s="97">
        <v>-1</v>
      </c>
      <c r="D656" s="41"/>
      <c r="E656" s="80"/>
      <c r="F656" s="36"/>
      <c r="G656" s="42"/>
      <c r="H656" s="19"/>
      <c r="I656" s="19"/>
      <c r="J656" s="88"/>
      <c r="K656" s="42"/>
      <c r="L656" s="42"/>
      <c r="M656" s="42"/>
      <c r="N656" s="42"/>
      <c r="O656" s="42"/>
      <c r="P656" s="42"/>
      <c r="Q656" s="42"/>
      <c r="R656" s="38" t="e">
        <f>VLOOKUP((D657),'Pwr Factor'!$A$1:$B$52,2)</f>
        <v>#N/A</v>
      </c>
      <c r="S656" s="50">
        <v>0</v>
      </c>
      <c r="T656" s="42"/>
      <c r="U656" s="42"/>
      <c r="V656" s="41"/>
      <c r="W656" s="42"/>
      <c r="X656" s="42"/>
      <c r="Y656" s="42"/>
      <c r="Z656" s="42"/>
      <c r="AA656" s="42"/>
      <c r="AB656" s="19"/>
      <c r="AC656" s="94"/>
    </row>
    <row r="657" spans="1:29" ht="13" x14ac:dyDescent="0.3">
      <c r="A657" s="1" t="s">
        <v>147</v>
      </c>
      <c r="B657" s="103">
        <f>IF(AND('AES Indiana Bill Calc.'!$D$17="PL",'AES Indiana Bill Calc.'!$D$18="No",'AES Indiana Bill Calc.'!$D$20="Yes 2024"),'AES Indiana Bill Calc.'!$D$19,-1)</f>
        <v>-1</v>
      </c>
      <c r="C657" s="103">
        <f>MAX(E657,$C$562)</f>
        <v>500</v>
      </c>
      <c r="D657" s="103" t="b">
        <f>IF(AND('AES Indiana Bill Calc.'!$D$17="PL",'AES Indiana Bill Calc.'!$D$18="No",'AES Indiana Bill Calc.'!$D$20="Yes 2024"),'AES Indiana Bill Calc.'!$D$22)</f>
        <v>0</v>
      </c>
      <c r="E657" s="103" t="b">
        <f>IF(AND('AES Indiana Bill Calc.'!$D$17="PL",'AES Indiana Bill Calc.'!$D$18="No",'AES Indiana Bill Calc.'!$D$20="Yes 2024"),'AES Indiana Bill Calc.'!$D$21)</f>
        <v>0</v>
      </c>
      <c r="F657" s="36" t="s">
        <v>305</v>
      </c>
      <c r="G657" s="42" t="e">
        <f>SUM(J657:M657,R657:AA657)</f>
        <v>#N/A</v>
      </c>
      <c r="H657" s="19" t="e">
        <f>IF(ISBLANK(B657),0,+#REF!/B657)</f>
        <v>#REF!</v>
      </c>
      <c r="I657" s="19"/>
      <c r="J657" s="88">
        <f>IF(ISBLANK(B657),0,+J$564)</f>
        <v>130</v>
      </c>
      <c r="K657" s="42">
        <f>ROUND($B657*K$564,2)</f>
        <v>-0.04</v>
      </c>
      <c r="L657" s="92">
        <f>IF($C657&gt;L$565,ROUND(L$565*L$564,2),ROUND($C657*L$564,2))</f>
        <v>14150</v>
      </c>
      <c r="M657" s="92">
        <f>IF($C657&gt;L$565,ROUND(($C657-L$565)*M$564,2),0)</f>
        <v>0</v>
      </c>
      <c r="N657" s="92">
        <f>K657</f>
        <v>-0.04</v>
      </c>
      <c r="O657" s="42"/>
      <c r="P657" s="42"/>
      <c r="Q657" s="92">
        <f>SUM(L657:M657)</f>
        <v>14150</v>
      </c>
      <c r="R657" s="82" t="e">
        <f>ROUND(SUM(K657:M657)*(R656-1),2)</f>
        <v>#N/A</v>
      </c>
      <c r="S657" s="42">
        <f>ROUND($B657*S$564*S656,2)</f>
        <v>0</v>
      </c>
      <c r="T657" s="42">
        <f>ROUND($B657*T$564,2)</f>
        <v>0.01</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2.3699999999999997E-3</v>
      </c>
      <c r="AC657" s="94" t="str">
        <f>+F657</f>
        <v>PL4</v>
      </c>
    </row>
    <row r="658" spans="1:29" ht="13" x14ac:dyDescent="0.3">
      <c r="A658" s="1"/>
      <c r="B658" s="103">
        <v>-1</v>
      </c>
      <c r="C658" s="103"/>
      <c r="D658" s="103"/>
      <c r="E658" s="103"/>
      <c r="F658" s="36"/>
      <c r="G658" s="42"/>
      <c r="H658" s="19"/>
      <c r="I658" s="19"/>
      <c r="J658" s="88"/>
      <c r="K658" s="42"/>
      <c r="L658" s="92"/>
      <c r="M658" s="92"/>
      <c r="N658" s="92"/>
      <c r="O658" s="42"/>
      <c r="P658" s="42"/>
      <c r="Q658" s="92"/>
      <c r="R658" s="82"/>
      <c r="S658" s="42"/>
      <c r="T658" s="42"/>
      <c r="U658" s="42"/>
      <c r="V658" s="27">
        <f>+T13</f>
        <v>0</v>
      </c>
      <c r="W658" s="6" t="s">
        <v>155</v>
      </c>
      <c r="X658" s="42"/>
      <c r="Y658" s="42"/>
      <c r="Z658" s="42"/>
      <c r="AA658" s="42"/>
      <c r="AB658" s="19"/>
      <c r="AC658" s="94"/>
    </row>
    <row r="659" spans="1:29" x14ac:dyDescent="0.25">
      <c r="B659" s="103">
        <v>-1</v>
      </c>
      <c r="C659" s="9"/>
      <c r="D659" s="8"/>
      <c r="I659" s="19"/>
      <c r="S659" s="6"/>
      <c r="T659" s="6"/>
      <c r="U659" s="6"/>
      <c r="V659" s="27">
        <f>T16</f>
        <v>-4.3999999999999999E-5</v>
      </c>
      <c r="W659" s="6" t="s">
        <v>156</v>
      </c>
      <c r="X659" s="6"/>
      <c r="Y659" s="6"/>
      <c r="Z659" s="6"/>
      <c r="AA659" s="6"/>
      <c r="AB659" s="19"/>
    </row>
    <row r="660" spans="1:29" x14ac:dyDescent="0.25">
      <c r="B660" s="103">
        <v>-1</v>
      </c>
      <c r="C660" s="9"/>
      <c r="D660" s="8"/>
      <c r="I660" s="19"/>
      <c r="S660" s="6"/>
      <c r="T660" s="6"/>
      <c r="U660" s="6"/>
      <c r="V660" s="27">
        <f>$T$19</f>
        <v>1.15E-4</v>
      </c>
      <c r="W660" s="6" t="s">
        <v>157</v>
      </c>
      <c r="X660" s="6"/>
      <c r="Y660" s="6"/>
      <c r="Z660" s="6"/>
      <c r="AA660" s="6"/>
      <c r="AB660" s="19"/>
    </row>
    <row r="661" spans="1:29" x14ac:dyDescent="0.25">
      <c r="B661" s="103">
        <v>-1</v>
      </c>
      <c r="C661" s="9"/>
      <c r="D661" s="8"/>
      <c r="I661" s="19"/>
      <c r="S661" s="6"/>
      <c r="T661" s="6"/>
      <c r="U661" s="6"/>
      <c r="V661" s="27">
        <f>$T$21</f>
        <v>4.6099999999999998E-4</v>
      </c>
      <c r="W661" s="6" t="s">
        <v>158</v>
      </c>
      <c r="X661" s="6"/>
      <c r="Y661" s="6"/>
      <c r="Z661" s="6"/>
      <c r="AA661" s="6"/>
      <c r="AB661" s="19"/>
    </row>
    <row r="662" spans="1:29" x14ac:dyDescent="0.25">
      <c r="B662" s="103">
        <v>-1</v>
      </c>
      <c r="C662" s="9"/>
      <c r="D662" s="8"/>
      <c r="I662" s="19"/>
      <c r="S662" s="6"/>
      <c r="T662" s="6"/>
      <c r="U662" s="6"/>
      <c r="V662" s="27">
        <f>$T$23</f>
        <v>-8.1300000000000003E-4</v>
      </c>
      <c r="W662" s="6" t="s">
        <v>159</v>
      </c>
      <c r="X662" s="6"/>
      <c r="Y662" s="6"/>
      <c r="Z662" s="6"/>
      <c r="AA662" s="6"/>
      <c r="AB662" s="19"/>
    </row>
    <row r="663" spans="1:29" x14ac:dyDescent="0.25">
      <c r="B663" s="103">
        <v>-1</v>
      </c>
      <c r="C663" s="9"/>
      <c r="D663" s="8"/>
      <c r="I663" s="19"/>
      <c r="S663" s="6"/>
      <c r="T663" s="6"/>
      <c r="U663" s="6"/>
      <c r="V663" s="27">
        <f>$T$25</f>
        <v>0</v>
      </c>
      <c r="W663" s="6" t="s">
        <v>160</v>
      </c>
      <c r="X663" s="6"/>
      <c r="Y663" s="6"/>
      <c r="Z663" s="6"/>
      <c r="AA663" s="6"/>
      <c r="AB663" s="19"/>
    </row>
    <row r="664" spans="1:29" x14ac:dyDescent="0.25">
      <c r="B664" s="103">
        <v>-1</v>
      </c>
      <c r="C664" s="9"/>
      <c r="D664" s="8"/>
      <c r="I664" s="19"/>
      <c r="S664" s="6"/>
      <c r="T664" s="6"/>
      <c r="U664" s="6"/>
      <c r="V664" s="19">
        <f>T27</f>
        <v>0</v>
      </c>
      <c r="W664" s="6" t="s">
        <v>161</v>
      </c>
      <c r="X664" s="6"/>
      <c r="Y664" s="6"/>
      <c r="Z664" s="6"/>
      <c r="AA664" s="6"/>
      <c r="AB664" s="19"/>
    </row>
    <row r="665" spans="1:29" x14ac:dyDescent="0.25">
      <c r="B665" s="103"/>
      <c r="C665" s="9"/>
      <c r="D665" s="8"/>
      <c r="I665" s="19"/>
      <c r="S665" s="6"/>
      <c r="T665" s="6"/>
      <c r="U665" s="6"/>
      <c r="V665" s="19">
        <f>T29</f>
        <v>2.6050000000000001E-3</v>
      </c>
      <c r="W665" s="6" t="s">
        <v>301</v>
      </c>
      <c r="X665" s="6"/>
      <c r="Y665" s="6"/>
      <c r="Z665" s="6"/>
      <c r="AA665" s="6"/>
      <c r="AB665" s="19"/>
    </row>
    <row r="666" spans="1:29" x14ac:dyDescent="0.25">
      <c r="A666" s="1"/>
      <c r="B666" s="103">
        <v>-1</v>
      </c>
      <c r="C666" s="33" t="s">
        <v>194</v>
      </c>
      <c r="D666" s="8"/>
      <c r="F666" s="70"/>
      <c r="G666" s="70"/>
      <c r="H666" s="70"/>
      <c r="I666" s="75"/>
      <c r="J666" s="161">
        <v>1250</v>
      </c>
      <c r="K666" s="162">
        <v>9.7390000000000004E-2</v>
      </c>
      <c r="L666" s="162">
        <v>8.2614000000000007E-2</v>
      </c>
      <c r="M666" s="8">
        <v>0</v>
      </c>
      <c r="N666" s="8"/>
      <c r="O666" s="8"/>
      <c r="P666" s="8"/>
      <c r="Q666" s="8"/>
      <c r="R666" s="5"/>
      <c r="S666" s="27">
        <f>+M$5</f>
        <v>2.5999999999999999E-3</v>
      </c>
      <c r="T666" s="27">
        <f t="shared" ref="T666:AA666" si="41">+R$5</f>
        <v>-7.7250000000000001E-3</v>
      </c>
      <c r="U666" s="27">
        <f>S5</f>
        <v>6.1300000000000005E-4</v>
      </c>
      <c r="V666" s="27">
        <f>+T$5</f>
        <v>5.5240000000000003E-3</v>
      </c>
      <c r="W666" s="27">
        <f t="shared" si="41"/>
        <v>0</v>
      </c>
      <c r="X666" s="27">
        <f t="shared" si="41"/>
        <v>2.9169999999999999E-3</v>
      </c>
      <c r="Y666" s="27">
        <f>+W$5</f>
        <v>-9.9299999999999996E-4</v>
      </c>
      <c r="Z666" s="27">
        <f t="shared" si="41"/>
        <v>2.5500000000000002E-4</v>
      </c>
      <c r="AA666" s="27">
        <f t="shared" si="41"/>
        <v>-4.08E-4</v>
      </c>
      <c r="AB666" s="19">
        <f>SUM(U666:Z666)</f>
        <v>8.3159999999999987E-3</v>
      </c>
    </row>
    <row r="667" spans="1:29" x14ac:dyDescent="0.25">
      <c r="B667" s="103">
        <v>-1</v>
      </c>
      <c r="C667" s="9">
        <v>100</v>
      </c>
      <c r="D667" s="8"/>
      <c r="F667" s="70"/>
      <c r="G667" s="70"/>
      <c r="H667" s="70"/>
      <c r="I667" s="75"/>
      <c r="J667" s="70"/>
      <c r="K667" s="73">
        <v>250</v>
      </c>
      <c r="L667" s="73"/>
    </row>
    <row r="668" spans="1:29" x14ac:dyDescent="0.25">
      <c r="B668" s="103">
        <v>-1</v>
      </c>
      <c r="C668" s="9"/>
      <c r="D668" s="8"/>
      <c r="F668" s="12"/>
      <c r="I668" s="19"/>
      <c r="J668" s="12" t="s">
        <v>137</v>
      </c>
      <c r="K668" s="195" t="s">
        <v>28</v>
      </c>
      <c r="L668" s="195"/>
      <c r="M668" s="13" t="s">
        <v>220</v>
      </c>
      <c r="N668" s="12"/>
      <c r="O668" s="12"/>
      <c r="P668" s="139" t="s">
        <v>221</v>
      </c>
      <c r="Q668" s="143" t="s">
        <v>173</v>
      </c>
      <c r="R668" s="12" t="s">
        <v>196</v>
      </c>
      <c r="S668" s="12">
        <v>21</v>
      </c>
      <c r="T668" s="12">
        <v>6</v>
      </c>
      <c r="U668" s="12">
        <v>3</v>
      </c>
      <c r="V668" s="12">
        <v>22</v>
      </c>
      <c r="W668" s="12">
        <v>13</v>
      </c>
      <c r="X668" s="12">
        <v>20</v>
      </c>
      <c r="Y668" s="12">
        <v>24</v>
      </c>
      <c r="Z668" s="12">
        <v>25</v>
      </c>
      <c r="AA668" s="12">
        <v>26</v>
      </c>
    </row>
    <row r="669" spans="1:29" x14ac:dyDescent="0.25">
      <c r="A669" s="13"/>
      <c r="B669" s="103">
        <v>-1</v>
      </c>
      <c r="C669" s="99" t="s">
        <v>209</v>
      </c>
      <c r="D669" s="100" t="s">
        <v>210</v>
      </c>
      <c r="E669" s="130" t="s">
        <v>199</v>
      </c>
      <c r="F669" s="13" t="s">
        <v>141</v>
      </c>
      <c r="G669" s="130" t="s">
        <v>142</v>
      </c>
      <c r="H669" s="13" t="s">
        <v>143</v>
      </c>
      <c r="I669" s="152" t="s">
        <v>222</v>
      </c>
      <c r="J669" s="13" t="s">
        <v>144</v>
      </c>
      <c r="K669" s="13" t="s">
        <v>223</v>
      </c>
      <c r="L669" s="13" t="s">
        <v>224</v>
      </c>
      <c r="M669" s="13" t="s">
        <v>144</v>
      </c>
      <c r="N669" s="143" t="s">
        <v>138</v>
      </c>
      <c r="O669" s="13"/>
      <c r="P669" s="12"/>
      <c r="Q669" s="13"/>
      <c r="R669" s="13" t="s">
        <v>201</v>
      </c>
      <c r="S669" s="13" t="s">
        <v>106</v>
      </c>
      <c r="T669" s="13" t="s">
        <v>36</v>
      </c>
      <c r="U669" s="139" t="s">
        <v>38</v>
      </c>
      <c r="V669" s="13" t="s">
        <v>107</v>
      </c>
      <c r="W669" s="13" t="s">
        <v>108</v>
      </c>
      <c r="X669" s="13" t="s">
        <v>109</v>
      </c>
      <c r="Y669" s="139" t="s">
        <v>44</v>
      </c>
      <c r="Z669" s="139" t="s">
        <v>46</v>
      </c>
      <c r="AA669" s="139" t="s">
        <v>48</v>
      </c>
      <c r="AB669" s="66" t="s">
        <v>110</v>
      </c>
    </row>
    <row r="670" spans="1:29" ht="13" x14ac:dyDescent="0.3">
      <c r="A670" s="48"/>
      <c r="B670" s="103">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ht="13" x14ac:dyDescent="0.3">
      <c r="A671" s="1" t="s">
        <v>148</v>
      </c>
      <c r="B671" s="103">
        <f>IF(AND('AES Indiana Bill Calc.'!$D$17="PH",'AES Indiana Bill Calc.'!$D$18="Yes 100%",'AES Indiana Bill Calc.'!$D$20="No"),'AES Indiana Bill Calc.'!$D$19,-1)</f>
        <v>-1</v>
      </c>
      <c r="C671" s="103">
        <f>MAX(E671,$C$667)</f>
        <v>100</v>
      </c>
      <c r="D671" s="103" t="b">
        <f>IF(AND('AES Indiana Bill Calc.'!$D$17="PH",'AES Indiana Bill Calc.'!$D$18="Yes 100%",'AES Indiana Bill Calc.'!$D$20="No"),'AES Indiana Bill Calc.'!$D$22)</f>
        <v>0</v>
      </c>
      <c r="E671" s="103" t="b">
        <f>IF(AND('AES Indiana Bill Calc.'!$D$17="PH",'AES Indiana Bill Calc.'!$D$18="Yes 100%",'AES Indiana Bill Calc.'!$D$20="No"),'AES Indiana Bill Calc.'!$D$21)</f>
        <v>0</v>
      </c>
      <c r="F671" s="36" t="s">
        <v>63</v>
      </c>
      <c r="G671" s="138" t="e">
        <f>MAX(I671,P670)</f>
        <v>#N/A</v>
      </c>
      <c r="H671" s="19" t="e">
        <f>IF(ISBLANK(B671),0,+#REF!/B671)</f>
        <v>#REF!</v>
      </c>
      <c r="I671" s="115">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0.01</v>
      </c>
      <c r="U671" s="17">
        <f t="shared" si="42"/>
        <v>0</v>
      </c>
      <c r="V671" s="17">
        <f t="shared" si="42"/>
        <v>-0.01</v>
      </c>
      <c r="W671" s="17">
        <f t="shared" si="42"/>
        <v>0</v>
      </c>
      <c r="X671" s="17">
        <f t="shared" si="42"/>
        <v>0</v>
      </c>
      <c r="Y671" s="17">
        <f t="shared" si="42"/>
        <v>0</v>
      </c>
      <c r="Z671" s="17">
        <f t="shared" si="42"/>
        <v>0</v>
      </c>
      <c r="AA671" s="17">
        <f t="shared" si="42"/>
        <v>0</v>
      </c>
      <c r="AB671" s="19">
        <f>SUM(U666:AA666)</f>
        <v>7.9079999999999984E-3</v>
      </c>
      <c r="AC671" s="67" t="str">
        <f>+F671</f>
        <v>PH</v>
      </c>
    </row>
    <row r="672" spans="1:29" ht="13" x14ac:dyDescent="0.3">
      <c r="A672" s="9"/>
      <c r="B672" s="103">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ht="13" x14ac:dyDescent="0.3">
      <c r="A673" s="1" t="s">
        <v>149</v>
      </c>
      <c r="B673" s="103">
        <f>IF(AND('AES Indiana Bill Calc.'!$D$17="PH",'AES Indiana Bill Calc.'!$D$18="Yes 50%",'AES Indiana Bill Calc.'!$D$20="No"),'AES Indiana Bill Calc.'!$D$19,-1)</f>
        <v>-1</v>
      </c>
      <c r="C673" s="103">
        <f>MAX(E673,$C$667)</f>
        <v>100</v>
      </c>
      <c r="D673" s="103" t="b">
        <f>IF(AND('AES Indiana Bill Calc.'!$D$17="PH",'AES Indiana Bill Calc.'!$D$18="Yes 50%",'AES Indiana Bill Calc.'!$D$20="No"),'AES Indiana Bill Calc.'!$D$22)</f>
        <v>0</v>
      </c>
      <c r="E673" s="103" t="b">
        <f>IF(AND('AES Indiana Bill Calc.'!$D$17="PH",'AES Indiana Bill Calc.'!$D$18="Yes 50%",'AES Indiana Bill Calc.'!$D$20="No"),'AES Indiana Bill Calc.'!$D$21)</f>
        <v>0</v>
      </c>
      <c r="F673" s="36" t="s">
        <v>63</v>
      </c>
      <c r="G673" s="138" t="e">
        <f>MAX(I673,P672)</f>
        <v>#N/A</v>
      </c>
      <c r="H673" s="19" t="e">
        <f>IF(ISBLANK(B673),0,+#REF!/B673)</f>
        <v>#REF!</v>
      </c>
      <c r="I673" s="115">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0.01</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ht="13" x14ac:dyDescent="0.3">
      <c r="A674" s="9"/>
      <c r="B674" s="103">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ht="13" x14ac:dyDescent="0.3">
      <c r="A675" s="1" t="s">
        <v>150</v>
      </c>
      <c r="B675" s="103">
        <f>IF(AND('AES Indiana Bill Calc.'!$D$17="PH",'AES Indiana Bill Calc.'!$D$18="Yes 25%",'AES Indiana Bill Calc.'!$D$20="No"),'AES Indiana Bill Calc.'!$D$19,-1)</f>
        <v>-1</v>
      </c>
      <c r="C675" s="103">
        <f>MAX(E675,$C$667)</f>
        <v>100</v>
      </c>
      <c r="D675" s="103" t="b">
        <f>IF(AND('AES Indiana Bill Calc.'!$D$17="PH",'AES Indiana Bill Calc.'!$D$18="Yes 25%",'AES Indiana Bill Calc.'!$D$20="No"),'AES Indiana Bill Calc.'!$D$22)</f>
        <v>0</v>
      </c>
      <c r="E675" s="103" t="b">
        <f>IF(AND('AES Indiana Bill Calc.'!$D$17="PH",'AES Indiana Bill Calc.'!$D$18="Yes 25%",'AES Indiana Bill Calc.'!$D$20="No"),'AES Indiana Bill Calc.'!$D$21)</f>
        <v>0</v>
      </c>
      <c r="F675" s="36" t="s">
        <v>63</v>
      </c>
      <c r="G675" s="138" t="e">
        <f>MAX(I675,P674)</f>
        <v>#N/A</v>
      </c>
      <c r="H675" s="19" t="e">
        <f>IF(ISBLANK(B675),0,+#REF!/B675)</f>
        <v>#REF!</v>
      </c>
      <c r="I675" s="115">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0.01</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ht="13" x14ac:dyDescent="0.3">
      <c r="A676" s="9"/>
      <c r="B676" s="103">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ht="13" x14ac:dyDescent="0.3">
      <c r="A677" s="1" t="s">
        <v>164</v>
      </c>
      <c r="B677" s="103">
        <f>IF(AND('AES Indiana Bill Calc.'!$D$17="PH",'AES Indiana Bill Calc.'!$D$18="Yes 10%",'AES Indiana Bill Calc.'!$D$20="No"),'AES Indiana Bill Calc.'!$D$19,-1)</f>
        <v>-1</v>
      </c>
      <c r="C677" s="103">
        <f>MAX(E677,$C$667)</f>
        <v>100</v>
      </c>
      <c r="D677" s="103" t="b">
        <f>IF(AND('AES Indiana Bill Calc.'!$D$17="PH",'AES Indiana Bill Calc.'!$D$18="Yes 10%",'AES Indiana Bill Calc.'!$D$20="No"),'AES Indiana Bill Calc.'!$D$22)</f>
        <v>0</v>
      </c>
      <c r="E677" s="103" t="b">
        <f>IF(AND('AES Indiana Bill Calc.'!$D$17="PH",'AES Indiana Bill Calc.'!$D$18="Yes 10%",'AES Indiana Bill Calc.'!$D$20="No"),'AES Indiana Bill Calc.'!$D$21)</f>
        <v>0</v>
      </c>
      <c r="F677" s="36" t="s">
        <v>63</v>
      </c>
      <c r="G677" s="138" t="e">
        <f>MAX(I677,P676)</f>
        <v>#N/A</v>
      </c>
      <c r="H677" s="19" t="e">
        <f>IF(ISBLANK(B677),0,+#REF!/B677)</f>
        <v>#REF!</v>
      </c>
      <c r="I677" s="115">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0.01</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ht="13" x14ac:dyDescent="0.3">
      <c r="A678" s="9"/>
      <c r="B678" s="103">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ht="13" x14ac:dyDescent="0.3">
      <c r="A679" s="1" t="s">
        <v>147</v>
      </c>
      <c r="B679" s="103">
        <f>IF(AND('AES Indiana Bill Calc.'!$D$17="PH",'AES Indiana Bill Calc.'!$D$18="No",'AES Indiana Bill Calc.'!$D$20="No"),'AES Indiana Bill Calc.'!$D$19,-1)</f>
        <v>-1</v>
      </c>
      <c r="C679" s="103">
        <f>MAX(E679,$C$667)</f>
        <v>100</v>
      </c>
      <c r="D679" s="103" t="b">
        <f>IF(AND('AES Indiana Bill Calc.'!$D$17="PH",'AES Indiana Bill Calc.'!$D$18="No",'AES Indiana Bill Calc.'!$D$20="No"),'AES Indiana Bill Calc.'!$D$22)</f>
        <v>0</v>
      </c>
      <c r="E679" s="103" t="b">
        <f>IF(AND('AES Indiana Bill Calc.'!$D$17="PH",'AES Indiana Bill Calc.'!$D$18="No",'AES Indiana Bill Calc.'!$D$20="No"),'AES Indiana Bill Calc.'!$D$21)</f>
        <v>0</v>
      </c>
      <c r="F679" s="36" t="s">
        <v>63</v>
      </c>
      <c r="G679" s="138" t="e">
        <f>MAX(I679,P678)</f>
        <v>#N/A</v>
      </c>
      <c r="H679" s="19" t="e">
        <f>IF(ISBLANK(B679),0,+#REF!/B679)</f>
        <v>#REF!</v>
      </c>
      <c r="I679" s="115">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0.01</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ht="13" x14ac:dyDescent="0.3">
      <c r="A680" s="9"/>
      <c r="B680" s="103">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ht="13" x14ac:dyDescent="0.3">
      <c r="A681" s="1" t="s">
        <v>148</v>
      </c>
      <c r="B681" s="103">
        <f>IF(AND('AES Indiana Bill Calc.'!$D$17="PH",'AES Indiana Bill Calc.'!$D$18="Yes 100%",'AES Indiana Bill Calc.'!$D$20="Yes Before 2018"),'AES Indiana Bill Calc.'!$D$19,-1)</f>
        <v>-1</v>
      </c>
      <c r="C681" s="103">
        <f>MAX(E681,$C$667)</f>
        <v>100</v>
      </c>
      <c r="D681" s="103" t="b">
        <f>IF(AND('AES Indiana Bill Calc.'!$D$17="PH",'AES Indiana Bill Calc.'!$D$18="Yes 100%",'AES Indiana Bill Calc.'!$D$20="Yes Before 2018"),'AES Indiana Bill Calc.'!$D$22)</f>
        <v>0</v>
      </c>
      <c r="E681" s="103" t="b">
        <f>IF(AND('AES Indiana Bill Calc.'!$D$17="PH",'AES Indiana Bill Calc.'!$D$18="Yes 100%",'AES Indiana Bill Calc.'!$D$20="Yes Before 2018"),'AES Indiana Bill Calc.'!$D$21)</f>
        <v>0</v>
      </c>
      <c r="F681" s="36" t="s">
        <v>225</v>
      </c>
      <c r="G681" s="138" t="e">
        <f>MAX(I681,P680)</f>
        <v>#N/A</v>
      </c>
      <c r="H681" s="19" t="e">
        <f>IF(ISBLANK(B681),0,+#REF!/B681)</f>
        <v>#REF!</v>
      </c>
      <c r="I681" s="115">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0.01</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ht="13" x14ac:dyDescent="0.3">
      <c r="A682" s="9"/>
      <c r="B682" s="103">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ht="13" x14ac:dyDescent="0.3">
      <c r="A683" s="1" t="s">
        <v>149</v>
      </c>
      <c r="B683" s="103">
        <f>IF(AND('AES Indiana Bill Calc.'!$D$17="PH",'AES Indiana Bill Calc.'!$D$18="Yes 50%",'AES Indiana Bill Calc.'!$D$20="Yes Before 2018"),'AES Indiana Bill Calc.'!$D$19,-1)</f>
        <v>-1</v>
      </c>
      <c r="C683" s="103">
        <f>MAX(E683,$C$667)</f>
        <v>100</v>
      </c>
      <c r="D683" s="103" t="b">
        <f>IF(AND('AES Indiana Bill Calc.'!$D$17="PH",'AES Indiana Bill Calc.'!$D$18="Yes 50%",'AES Indiana Bill Calc.'!$D$20="Yes Before 2018"),'AES Indiana Bill Calc.'!$D$22)</f>
        <v>0</v>
      </c>
      <c r="E683" s="103" t="b">
        <f>IF(AND('AES Indiana Bill Calc.'!$D$17="PH",'AES Indiana Bill Calc.'!$D$18="Yes 50%",'AES Indiana Bill Calc.'!$D$20="Yes Before 2018"),'AES Indiana Bill Calc.'!$D$21)</f>
        <v>0</v>
      </c>
      <c r="F683" s="36" t="s">
        <v>225</v>
      </c>
      <c r="G683" s="138" t="e">
        <f>MAX(I683,P682)</f>
        <v>#N/A</v>
      </c>
      <c r="H683" s="19" t="e">
        <f>IF(ISBLANK(B683),0,+#REF!/B683)</f>
        <v>#REF!</v>
      </c>
      <c r="I683" s="115">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0.01</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ht="13" x14ac:dyDescent="0.3">
      <c r="A684" s="9"/>
      <c r="B684" s="103">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ht="13" x14ac:dyDescent="0.3">
      <c r="A685" s="1" t="s">
        <v>150</v>
      </c>
      <c r="B685" s="103">
        <f>IF(AND('AES Indiana Bill Calc.'!$D$17="PH",'AES Indiana Bill Calc.'!$D$18="Yes 25%",'AES Indiana Bill Calc.'!$D$20="Yes Before 2018"),'AES Indiana Bill Calc.'!$D$19,-1)</f>
        <v>-1</v>
      </c>
      <c r="C685" s="103">
        <f>MAX(E685,$C$667)</f>
        <v>100</v>
      </c>
      <c r="D685" s="103" t="b">
        <f>IF(AND('AES Indiana Bill Calc.'!$D$17="PH",'AES Indiana Bill Calc.'!$D$18="Yes 25%",'AES Indiana Bill Calc.'!$D$20="Yes Before 2018"),'AES Indiana Bill Calc.'!$D$22)</f>
        <v>0</v>
      </c>
      <c r="E685" s="103" t="b">
        <f>IF(AND('AES Indiana Bill Calc.'!$D$17="PH",'AES Indiana Bill Calc.'!$D$18="Yes 25%",'AES Indiana Bill Calc.'!$D$20="Yes Before 2018"),'AES Indiana Bill Calc.'!$D$21)</f>
        <v>0</v>
      </c>
      <c r="F685" s="36" t="s">
        <v>225</v>
      </c>
      <c r="G685" s="138" t="e">
        <f>MAX(I685,P684)</f>
        <v>#N/A</v>
      </c>
      <c r="H685" s="19" t="e">
        <f>IF(ISBLANK(B685),0,+#REF!/B685)</f>
        <v>#REF!</v>
      </c>
      <c r="I685" s="115">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0.01</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ht="13" x14ac:dyDescent="0.3">
      <c r="A686" s="9"/>
      <c r="B686" s="103">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ht="13" x14ac:dyDescent="0.3">
      <c r="A687" s="1" t="s">
        <v>164</v>
      </c>
      <c r="B687" s="103">
        <f>IF(AND('AES Indiana Bill Calc.'!$D$17="PH",'AES Indiana Bill Calc.'!$D$18="Yes 10%",'AES Indiana Bill Calc.'!$D$20="Yes Before 2018"),'AES Indiana Bill Calc.'!$D$19,-1)</f>
        <v>-1</v>
      </c>
      <c r="C687" s="103">
        <f>MAX(E687,$C$667)</f>
        <v>100</v>
      </c>
      <c r="D687" s="103" t="b">
        <f>IF(AND('AES Indiana Bill Calc.'!$D$17="PH",'AES Indiana Bill Calc.'!$D$18="Yes 10%",'AES Indiana Bill Calc.'!$D$20="Yes Before 2018"),'AES Indiana Bill Calc.'!$D$22)</f>
        <v>0</v>
      </c>
      <c r="E687" s="103" t="b">
        <f>IF(AND('AES Indiana Bill Calc.'!$D$17="PH",'AES Indiana Bill Calc.'!$D$18="Yes 10%",'AES Indiana Bill Calc.'!$D$20="Yes Before 2018"),'AES Indiana Bill Calc.'!$D$21)</f>
        <v>0</v>
      </c>
      <c r="F687" s="36" t="s">
        <v>225</v>
      </c>
      <c r="G687" s="138" t="e">
        <f>MAX(I687,P686)</f>
        <v>#N/A</v>
      </c>
      <c r="H687" s="19" t="e">
        <f>IF(ISBLANK(B687),0,+#REF!/B687)</f>
        <v>#REF!</v>
      </c>
      <c r="I687" s="115">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0.01</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ht="13" x14ac:dyDescent="0.3">
      <c r="A688" s="9"/>
      <c r="B688" s="103">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ht="13" x14ac:dyDescent="0.3">
      <c r="A689" s="1" t="s">
        <v>147</v>
      </c>
      <c r="B689" s="103">
        <f>IF(AND('AES Indiana Bill Calc.'!$D$17="PH",'AES Indiana Bill Calc.'!$D$18="No",'AES Indiana Bill Calc.'!$D$20="Yes Before 2018"),'AES Indiana Bill Calc.'!$D$19,-1)</f>
        <v>-1</v>
      </c>
      <c r="C689" s="103">
        <f>MAX(E689,$C$667)</f>
        <v>100</v>
      </c>
      <c r="D689" s="103" t="b">
        <f>IF(AND('AES Indiana Bill Calc.'!$D$17="PH",'AES Indiana Bill Calc.'!$D$18="No",'AES Indiana Bill Calc.'!$D$20="Yes Before 2018"),'AES Indiana Bill Calc.'!$D$22)</f>
        <v>0</v>
      </c>
      <c r="E689" s="103" t="b">
        <f>IF(AND('AES Indiana Bill Calc.'!$D$17="PH",'AES Indiana Bill Calc.'!$D$18="No",'AES Indiana Bill Calc.'!$D$20="Yes Before 2018"),'AES Indiana Bill Calc.'!$D$21)</f>
        <v>0</v>
      </c>
      <c r="F689" s="36" t="s">
        <v>225</v>
      </c>
      <c r="G689" s="138" t="e">
        <f>MAX(I689,P688)</f>
        <v>#N/A</v>
      </c>
      <c r="H689" s="19" t="e">
        <f>IF(ISBLANK(B689),0,+#REF!/B689)</f>
        <v>#REF!</v>
      </c>
      <c r="I689" s="115">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0.01</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ht="13" x14ac:dyDescent="0.3">
      <c r="A690" s="9"/>
      <c r="B690" s="103">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ht="13" x14ac:dyDescent="0.3">
      <c r="A691" s="1" t="s">
        <v>148</v>
      </c>
      <c r="B691" s="103">
        <f>IF(AND('AES Indiana Bill Calc.'!$D$17="PH",'AES Indiana Bill Calc.'!$D$18="Yes 100%",'AES Indiana Bill Calc.'!$D$20="Yes 2018"),'AES Indiana Bill Calc.'!$D$19,-1)</f>
        <v>-1</v>
      </c>
      <c r="C691" s="103">
        <f>MAX(E691,$C$667)</f>
        <v>100</v>
      </c>
      <c r="D691" s="103" t="b">
        <f>IF(AND('AES Indiana Bill Calc.'!$D$17="PH",'AES Indiana Bill Calc.'!$D$18="Yes 100%",'AES Indiana Bill Calc.'!$D$20="Yes 2018"),'AES Indiana Bill Calc.'!$D$22)</f>
        <v>0</v>
      </c>
      <c r="E691" s="103" t="b">
        <f>IF(AND('AES Indiana Bill Calc.'!$D$17="PH",'AES Indiana Bill Calc.'!$D$18="Yes 100%",'AES Indiana Bill Calc.'!$D$20="Yes 2018"),'AES Indiana Bill Calc.'!$D$21)</f>
        <v>0</v>
      </c>
      <c r="F691" s="36" t="s">
        <v>226</v>
      </c>
      <c r="G691" s="138" t="e">
        <f>MAX(I691,P690)</f>
        <v>#N/A</v>
      </c>
      <c r="H691" s="19" t="e">
        <f>IF(ISBLANK(B691),0,+#REF!/B691)</f>
        <v>#REF!</v>
      </c>
      <c r="I691" s="115">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0.01</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ht="13" x14ac:dyDescent="0.3">
      <c r="A692" s="9"/>
      <c r="B692" s="103">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ht="13" x14ac:dyDescent="0.3">
      <c r="A693" s="1" t="s">
        <v>149</v>
      </c>
      <c r="B693" s="103">
        <f>IF(AND('AES Indiana Bill Calc.'!$D$17="PH",'AES Indiana Bill Calc.'!$D$18="Yes 50%",'AES Indiana Bill Calc.'!$D$20="Yes 2018"),'AES Indiana Bill Calc.'!$D$19,-1)</f>
        <v>-1</v>
      </c>
      <c r="C693" s="103">
        <f>MAX(E693,$C$667)</f>
        <v>100</v>
      </c>
      <c r="D693" s="103" t="b">
        <f>IF(AND('AES Indiana Bill Calc.'!$D$17="PH",'AES Indiana Bill Calc.'!$D$18="Yes 50%",'AES Indiana Bill Calc.'!$D$20="Yes 2018"),'AES Indiana Bill Calc.'!$D$22)</f>
        <v>0</v>
      </c>
      <c r="E693" s="103" t="b">
        <f>IF(AND('AES Indiana Bill Calc.'!$D$17="PH",'AES Indiana Bill Calc.'!$D$18="Yes 50%",'AES Indiana Bill Calc.'!$D$20="Yes 2018"),'AES Indiana Bill Calc.'!$D$21)</f>
        <v>0</v>
      </c>
      <c r="F693" s="36" t="s">
        <v>226</v>
      </c>
      <c r="G693" s="138" t="e">
        <f>MAX(I693,P692)</f>
        <v>#N/A</v>
      </c>
      <c r="H693" s="19" t="e">
        <f>IF(ISBLANK(B693),0,+#REF!/B693)</f>
        <v>#REF!</v>
      </c>
      <c r="I693" s="115">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0.01</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ht="13" x14ac:dyDescent="0.3">
      <c r="A694" s="9"/>
      <c r="B694" s="103">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ht="13" x14ac:dyDescent="0.3">
      <c r="A695" s="1" t="s">
        <v>150</v>
      </c>
      <c r="B695" s="103">
        <f>IF(AND('AES Indiana Bill Calc.'!$D$17="PH",'AES Indiana Bill Calc.'!$D$18="Yes 25%",'AES Indiana Bill Calc.'!$D$20="Yes 2018"),'AES Indiana Bill Calc.'!$D$19,-1)</f>
        <v>-1</v>
      </c>
      <c r="C695" s="103">
        <f>MAX(E695,$C$667)</f>
        <v>100</v>
      </c>
      <c r="D695" s="103" t="b">
        <f>IF(AND('AES Indiana Bill Calc.'!$D$17="PH",'AES Indiana Bill Calc.'!$D$18="Yes 25%",'AES Indiana Bill Calc.'!$D$20="Yes 2018"),'AES Indiana Bill Calc.'!$D$22)</f>
        <v>0</v>
      </c>
      <c r="E695" s="103" t="b">
        <f>IF(AND('AES Indiana Bill Calc.'!$D$17="PH",'AES Indiana Bill Calc.'!$D$18="Yes 25%",'AES Indiana Bill Calc.'!$D$20="Yes 2018"),'AES Indiana Bill Calc.'!$D$21)</f>
        <v>0</v>
      </c>
      <c r="F695" s="36" t="s">
        <v>226</v>
      </c>
      <c r="G695" s="138" t="e">
        <f>MAX(I695,P694)</f>
        <v>#N/A</v>
      </c>
      <c r="H695" s="19" t="e">
        <f>IF(ISBLANK(B695),0,+#REF!/B695)</f>
        <v>#REF!</v>
      </c>
      <c r="I695" s="115">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0.01</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ht="13" x14ac:dyDescent="0.3">
      <c r="A696" s="9"/>
      <c r="B696" s="103">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ht="13" x14ac:dyDescent="0.3">
      <c r="A697" s="1" t="s">
        <v>164</v>
      </c>
      <c r="B697" s="103">
        <f>IF(AND('AES Indiana Bill Calc.'!$D$17="PH",'AES Indiana Bill Calc.'!$D$18="Yes 10%",'AES Indiana Bill Calc.'!$D$20="Yes 2018"),'AES Indiana Bill Calc.'!$D$19,-1)</f>
        <v>-1</v>
      </c>
      <c r="C697" s="103">
        <f>MAX(E697,$C$667)</f>
        <v>100</v>
      </c>
      <c r="D697" s="103" t="b">
        <f>IF(AND('AES Indiana Bill Calc.'!$D$17="PH",'AES Indiana Bill Calc.'!$D$18="Yes 10%",'AES Indiana Bill Calc.'!$D$20="Yes 2018"),'AES Indiana Bill Calc.'!$D$22)</f>
        <v>0</v>
      </c>
      <c r="E697" s="103" t="b">
        <f>IF(AND('AES Indiana Bill Calc.'!$D$17="PH",'AES Indiana Bill Calc.'!$D$18="Yes 10%",'AES Indiana Bill Calc.'!$D$20="Yes 2018"),'AES Indiana Bill Calc.'!$D$21)</f>
        <v>0</v>
      </c>
      <c r="F697" s="36" t="s">
        <v>226</v>
      </c>
      <c r="G697" s="138" t="e">
        <f>MAX(I697,P696)</f>
        <v>#N/A</v>
      </c>
      <c r="H697" s="19" t="e">
        <f>IF(ISBLANK(B697),0,+#REF!/B697)</f>
        <v>#REF!</v>
      </c>
      <c r="I697" s="115">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0.01</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ht="13" x14ac:dyDescent="0.3">
      <c r="A698" s="9"/>
      <c r="B698" s="103">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ht="13" x14ac:dyDescent="0.3">
      <c r="A699" s="1" t="s">
        <v>147</v>
      </c>
      <c r="B699" s="103">
        <f>IF(AND('AES Indiana Bill Calc.'!$D$17="PH",'AES Indiana Bill Calc.'!$D$18="No",'AES Indiana Bill Calc.'!$D$20="Yes 2018"),'AES Indiana Bill Calc.'!$D$19,-1)</f>
        <v>-1</v>
      </c>
      <c r="C699" s="103">
        <f>MAX(E699,$C$667)</f>
        <v>100</v>
      </c>
      <c r="D699" s="103" t="b">
        <f>IF(AND('AES Indiana Bill Calc.'!$D$17="PH",'AES Indiana Bill Calc.'!$D$18="No",'AES Indiana Bill Calc.'!$D$20="Yes 2018"),'AES Indiana Bill Calc.'!$D$22)</f>
        <v>0</v>
      </c>
      <c r="E699" s="103" t="b">
        <f>IF(AND('AES Indiana Bill Calc.'!$D$17="PH",'AES Indiana Bill Calc.'!$D$18="No",'AES Indiana Bill Calc.'!$D$20="Yes 2018"),'AES Indiana Bill Calc.'!$D$21)</f>
        <v>0</v>
      </c>
      <c r="F699" s="36" t="s">
        <v>226</v>
      </c>
      <c r="G699" s="138" t="e">
        <f>MAX(I699,P698)</f>
        <v>#N/A</v>
      </c>
      <c r="H699" s="19" t="e">
        <f>IF(ISBLANK(B699),0,+#REF!/B699)</f>
        <v>#REF!</v>
      </c>
      <c r="I699" s="115">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0.01</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ht="13" x14ac:dyDescent="0.3">
      <c r="A700" s="9"/>
      <c r="B700" s="103">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35">
      <c r="A701" s="1" t="s">
        <v>148</v>
      </c>
      <c r="B701" s="103">
        <f>IF(AND('AES Indiana Bill Calc.'!$D$17="PH",'AES Indiana Bill Calc.'!$D$18="Yes 100%",'AES Indiana Bill Calc.'!$D$20="Yes 2019"),'AES Indiana Bill Calc.'!$D$19,-1)</f>
        <v>-1</v>
      </c>
      <c r="C701" s="103">
        <f>MAX(E701,$C$667)</f>
        <v>100</v>
      </c>
      <c r="D701" s="103" t="b">
        <f>IF(AND('AES Indiana Bill Calc.'!$D$17="PH",'AES Indiana Bill Calc.'!$D$18="Yes 100%",'AES Indiana Bill Calc.'!$D$20="Yes 2019"),'AES Indiana Bill Calc.'!$D$22)</f>
        <v>0</v>
      </c>
      <c r="E701" s="103" t="b">
        <f>IF(AND('AES Indiana Bill Calc.'!$D$17="PH",'AES Indiana Bill Calc.'!$D$18="Yes 100%",'AES Indiana Bill Calc.'!$D$20="Yes 2019"),'AES Indiana Bill Calc.'!$D$21)</f>
        <v>0</v>
      </c>
      <c r="F701" s="36" t="s">
        <v>227</v>
      </c>
      <c r="G701" s="138" t="e">
        <f>MAX(I701,P700)</f>
        <v>#N/A</v>
      </c>
      <c r="H701" s="19" t="e">
        <f>IF(ISBLANK(B701),0,+#REF!/B701)</f>
        <v>#REF!</v>
      </c>
      <c r="I701" s="115">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0.01</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ht="13" x14ac:dyDescent="0.3">
      <c r="A702" s="9"/>
      <c r="B702" s="103">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ht="13" x14ac:dyDescent="0.3">
      <c r="A703" s="1" t="s">
        <v>149</v>
      </c>
      <c r="B703" s="103">
        <f>IF(AND('AES Indiana Bill Calc.'!$D$17="PH",'AES Indiana Bill Calc.'!$D$18="Yes 50%",'AES Indiana Bill Calc.'!$D$20="Yes 2019"),'AES Indiana Bill Calc.'!$D$19,-1)</f>
        <v>-1</v>
      </c>
      <c r="C703" s="103">
        <f>MAX(E703,$C$667)</f>
        <v>100</v>
      </c>
      <c r="D703" s="103" t="b">
        <f>IF(AND('AES Indiana Bill Calc.'!$D$17="PH",'AES Indiana Bill Calc.'!$D$18="Yes 50%",'AES Indiana Bill Calc.'!$D$20="Yes 2019"),'AES Indiana Bill Calc.'!$D$22)</f>
        <v>0</v>
      </c>
      <c r="E703" s="103" t="b">
        <f>IF(AND('AES Indiana Bill Calc.'!$D$17="PH",'AES Indiana Bill Calc.'!$D$18="Yes 50%",'AES Indiana Bill Calc.'!$D$20="Yes 2019"),'AES Indiana Bill Calc.'!$D$21)</f>
        <v>0</v>
      </c>
      <c r="F703" s="36" t="s">
        <v>227</v>
      </c>
      <c r="G703" s="138" t="e">
        <f>MAX(I703,P702)</f>
        <v>#N/A</v>
      </c>
      <c r="H703" s="19" t="e">
        <f>IF(ISBLANK(B703),0,+#REF!/B703)</f>
        <v>#REF!</v>
      </c>
      <c r="I703" s="115">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0.01</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ht="13" x14ac:dyDescent="0.3">
      <c r="A704" s="9"/>
      <c r="B704" s="103">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ht="13" x14ac:dyDescent="0.3">
      <c r="A705" s="1" t="s">
        <v>150</v>
      </c>
      <c r="B705" s="103">
        <f>IF(AND('AES Indiana Bill Calc.'!$D$17="PH",'AES Indiana Bill Calc.'!$D$18="Yes 25%",'AES Indiana Bill Calc.'!$D$20="Yes 2019"),'AES Indiana Bill Calc.'!$D$19,-1)</f>
        <v>-1</v>
      </c>
      <c r="C705" s="103">
        <f>MAX(E705,$C$667)</f>
        <v>100</v>
      </c>
      <c r="D705" s="103" t="b">
        <f>IF(AND('AES Indiana Bill Calc.'!$D$17="PH",'AES Indiana Bill Calc.'!$D$18="Yes 25%",'AES Indiana Bill Calc.'!$D$20="Yes 2019"),'AES Indiana Bill Calc.'!$D$22)</f>
        <v>0</v>
      </c>
      <c r="E705" s="103" t="b">
        <f>IF(AND('AES Indiana Bill Calc.'!$D$17="PH",'AES Indiana Bill Calc.'!$D$18="Yes 25%",'AES Indiana Bill Calc.'!$D$20="Yes 2019"),'AES Indiana Bill Calc.'!$D$21)</f>
        <v>0</v>
      </c>
      <c r="F705" s="36" t="s">
        <v>227</v>
      </c>
      <c r="G705" s="138" t="e">
        <f>MAX(I705,P704)</f>
        <v>#N/A</v>
      </c>
      <c r="H705" s="19" t="e">
        <f>IF(ISBLANK(B705),0,+#REF!/B705)</f>
        <v>#REF!</v>
      </c>
      <c r="I705" s="115">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0.01</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ht="13" x14ac:dyDescent="0.3">
      <c r="A706" s="9"/>
      <c r="B706" s="103">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ht="13" x14ac:dyDescent="0.3">
      <c r="A707" s="1" t="s">
        <v>164</v>
      </c>
      <c r="B707" s="103">
        <f>IF(AND('AES Indiana Bill Calc.'!$D$17="PH",'AES Indiana Bill Calc.'!$D$18="Yes 10%",'AES Indiana Bill Calc.'!$D$20="Yes 2019"),'AES Indiana Bill Calc.'!$D$19,-1)</f>
        <v>-1</v>
      </c>
      <c r="C707" s="103">
        <f>MAX(E707,$C$667)</f>
        <v>100</v>
      </c>
      <c r="D707" s="103" t="b">
        <f>IF(AND('AES Indiana Bill Calc.'!$D$17="PH",'AES Indiana Bill Calc.'!$D$18="Yes 10%",'AES Indiana Bill Calc.'!$D$20="Yes 2019"),'AES Indiana Bill Calc.'!$D$22)</f>
        <v>0</v>
      </c>
      <c r="E707" s="103" t="b">
        <f>IF(AND('AES Indiana Bill Calc.'!$D$17="PH",'AES Indiana Bill Calc.'!$D$18="Yes 10%",'AES Indiana Bill Calc.'!$D$20="Yes 2019"),'AES Indiana Bill Calc.'!$D$21)</f>
        <v>0</v>
      </c>
      <c r="F707" s="36" t="s">
        <v>227</v>
      </c>
      <c r="G707" s="138" t="e">
        <f>MAX(I707,P706)</f>
        <v>#N/A</v>
      </c>
      <c r="H707" s="19" t="e">
        <f>IF(ISBLANK(B707),0,+#REF!/B707)</f>
        <v>#REF!</v>
      </c>
      <c r="I707" s="115">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0.01</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ht="13" x14ac:dyDescent="0.3">
      <c r="A708" s="9"/>
      <c r="B708" s="103">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ht="13" x14ac:dyDescent="0.3">
      <c r="A709" s="1" t="s">
        <v>147</v>
      </c>
      <c r="B709" s="103">
        <f>IF(AND('AES Indiana Bill Calc.'!$D$17="PH",'AES Indiana Bill Calc.'!$D$18="Yes 100%",'AES Indiana Bill Calc.'!$D$20="Yes 2019"),'AES Indiana Bill Calc.'!$D$19,-1)</f>
        <v>-1</v>
      </c>
      <c r="C709" s="103">
        <f>MAX(E709,$C$667)</f>
        <v>100</v>
      </c>
      <c r="D709" s="103" t="b">
        <f>IF(AND('AES Indiana Bill Calc.'!$D$17="PH",'AES Indiana Bill Calc.'!$D$18="Yes 100%",'AES Indiana Bill Calc.'!$D$20="Yes 2019"),'AES Indiana Bill Calc.'!$D$22)</f>
        <v>0</v>
      </c>
      <c r="E709" s="103" t="b">
        <f>IF(AND('AES Indiana Bill Calc.'!$D$17="PH",'AES Indiana Bill Calc.'!$D$18="Yes 100%",'AES Indiana Bill Calc.'!$D$20="Yes 2019"),'AES Indiana Bill Calc.'!$D$21)</f>
        <v>0</v>
      </c>
      <c r="F709" s="36" t="s">
        <v>227</v>
      </c>
      <c r="G709" s="138" t="e">
        <f>MAX(I709,P708)</f>
        <v>#N/A</v>
      </c>
      <c r="H709" s="19" t="e">
        <f>IF(ISBLANK(B709),0,+#REF!/B709)</f>
        <v>#REF!</v>
      </c>
      <c r="I709" s="115">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0.01</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ht="13" x14ac:dyDescent="0.3">
      <c r="A710" s="9"/>
      <c r="B710" s="103">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ht="13" x14ac:dyDescent="0.3">
      <c r="A711" s="1" t="s">
        <v>148</v>
      </c>
      <c r="B711" s="103">
        <f>IF(AND('AES Indiana Bill Calc.'!$D$17="PH",'AES Indiana Bill Calc.'!$D$18="Yes 100%",'AES Indiana Bill Calc.'!$D$20="Yes 2020"),'AES Indiana Bill Calc.'!$D$19,-1)</f>
        <v>-1</v>
      </c>
      <c r="C711" s="103">
        <f>MAX(E711,$C$667)</f>
        <v>100</v>
      </c>
      <c r="D711" s="103" t="b">
        <f>IF(AND('AES Indiana Bill Calc.'!$D$17="PH",'AES Indiana Bill Calc.'!$D$18="Yes 100%",'AES Indiana Bill Calc.'!$D$20="Yes 2020"),'AES Indiana Bill Calc.'!$D$22)</f>
        <v>0</v>
      </c>
      <c r="E711" s="103" t="b">
        <f>IF(AND('AES Indiana Bill Calc.'!$D$17="PH",'AES Indiana Bill Calc.'!$D$18="Yes 100%",'AES Indiana Bill Calc.'!$D$20="Yes 2020"),'AES Indiana Bill Calc.'!$D$21)</f>
        <v>0</v>
      </c>
      <c r="F711" s="36" t="s">
        <v>228</v>
      </c>
      <c r="G711" s="138" t="e">
        <f>MAX(I711,P710)</f>
        <v>#N/A</v>
      </c>
      <c r="H711" s="19" t="e">
        <f>IF(ISBLANK(B711),0,+#REF!/B711)</f>
        <v>#REF!</v>
      </c>
      <c r="I711" s="115">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0.01</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ht="13" x14ac:dyDescent="0.3">
      <c r="A712" s="9"/>
      <c r="B712" s="103">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ht="13" x14ac:dyDescent="0.3">
      <c r="A713" s="1" t="s">
        <v>149</v>
      </c>
      <c r="B713" s="103">
        <f>IF(AND('AES Indiana Bill Calc.'!$D$17="PH",'AES Indiana Bill Calc.'!$D$18="Yes 50%",'AES Indiana Bill Calc.'!$D$20="Yes 2020"),'AES Indiana Bill Calc.'!$D$19,-1)</f>
        <v>-1</v>
      </c>
      <c r="C713" s="103">
        <f>MAX(E713,$C$667)</f>
        <v>100</v>
      </c>
      <c r="D713" s="103" t="b">
        <f>IF(AND('AES Indiana Bill Calc.'!$D$17="PH",'AES Indiana Bill Calc.'!$D$18="Yes 50%",'AES Indiana Bill Calc.'!$D$20="Yes 2020"),'AES Indiana Bill Calc.'!$D$22)</f>
        <v>0</v>
      </c>
      <c r="E713" s="103" t="b">
        <f>IF(AND('AES Indiana Bill Calc.'!$D$17="PH",'AES Indiana Bill Calc.'!$D$18="Yes 50%",'AES Indiana Bill Calc.'!$D$20="Yes 2020"),'AES Indiana Bill Calc.'!$D$21)</f>
        <v>0</v>
      </c>
      <c r="F713" s="36" t="s">
        <v>228</v>
      </c>
      <c r="G713" s="138" t="e">
        <f>MAX(I713,P712)</f>
        <v>#N/A</v>
      </c>
      <c r="H713" s="19" t="e">
        <f>IF(ISBLANK(B713),0,+#REF!/B713)</f>
        <v>#REF!</v>
      </c>
      <c r="I713" s="115">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0.01</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ht="13" x14ac:dyDescent="0.3">
      <c r="A714" s="9"/>
      <c r="B714" s="103">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ht="13" x14ac:dyDescent="0.3">
      <c r="A715" s="1" t="s">
        <v>150</v>
      </c>
      <c r="B715" s="103">
        <f>IF(AND('AES Indiana Bill Calc.'!$D$17="PH",'AES Indiana Bill Calc.'!$D$18="Yes 25%",'AES Indiana Bill Calc.'!$D$20="Yes 2020"),'AES Indiana Bill Calc.'!$D$19,-1)</f>
        <v>-1</v>
      </c>
      <c r="C715" s="103">
        <f>MAX(E715,$C$667)</f>
        <v>100</v>
      </c>
      <c r="D715" s="103" t="b">
        <f>IF(AND('AES Indiana Bill Calc.'!$D$17="PH",'AES Indiana Bill Calc.'!$D$18="Yes 25%",'AES Indiana Bill Calc.'!$D$20="Yes 2020"),'AES Indiana Bill Calc.'!$D$22)</f>
        <v>0</v>
      </c>
      <c r="E715" s="103" t="b">
        <f>IF(AND('AES Indiana Bill Calc.'!$D$17="PH",'AES Indiana Bill Calc.'!$D$18="Yes 25%",'AES Indiana Bill Calc.'!$D$20="Yes 2020"),'AES Indiana Bill Calc.'!$D$21)</f>
        <v>0</v>
      </c>
      <c r="F715" s="36" t="s">
        <v>228</v>
      </c>
      <c r="G715" s="138" t="e">
        <f>MAX(I715,P714)</f>
        <v>#N/A</v>
      </c>
      <c r="H715" s="19" t="e">
        <f>IF(ISBLANK(B715),0,+#REF!/B715)</f>
        <v>#REF!</v>
      </c>
      <c r="I715" s="115">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0.01</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ht="13" x14ac:dyDescent="0.3">
      <c r="A716" s="9"/>
      <c r="B716" s="103">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ht="13" x14ac:dyDescent="0.3">
      <c r="A717" s="1" t="s">
        <v>164</v>
      </c>
      <c r="B717" s="103">
        <f>IF(AND('AES Indiana Bill Calc.'!$D$17="PH",'AES Indiana Bill Calc.'!$D$18="Yes 10%",'AES Indiana Bill Calc.'!$D$20="Yes 2020"),'AES Indiana Bill Calc.'!$D$19,-1)</f>
        <v>-1</v>
      </c>
      <c r="C717" s="103">
        <f>MAX(E717,$C$667)</f>
        <v>100</v>
      </c>
      <c r="D717" s="103" t="b">
        <f>IF(AND('AES Indiana Bill Calc.'!$D$17="PH",'AES Indiana Bill Calc.'!$D$18="Yes 10%",'AES Indiana Bill Calc.'!$D$20="Yes 2020"),'AES Indiana Bill Calc.'!$D$22)</f>
        <v>0</v>
      </c>
      <c r="E717" s="103" t="b">
        <f>IF(AND('AES Indiana Bill Calc.'!$D$17="PH",'AES Indiana Bill Calc.'!$D$18="Yes 10%",'AES Indiana Bill Calc.'!$D$20="Yes 2020"),'AES Indiana Bill Calc.'!$D$21)</f>
        <v>0</v>
      </c>
      <c r="F717" s="36" t="s">
        <v>228</v>
      </c>
      <c r="G717" s="138" t="e">
        <f>MAX(I717,P716)</f>
        <v>#N/A</v>
      </c>
      <c r="H717" s="19" t="e">
        <f>IF(ISBLANK(B717),0,+#REF!/B717)</f>
        <v>#REF!</v>
      </c>
      <c r="I717" s="115">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0.01</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ht="13" x14ac:dyDescent="0.3">
      <c r="A718" s="9"/>
      <c r="B718" s="103">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ht="13" x14ac:dyDescent="0.3">
      <c r="A719" s="1" t="s">
        <v>147</v>
      </c>
      <c r="B719" s="103">
        <f>IF(AND('AES Indiana Bill Calc.'!$D$17="PH",'AES Indiana Bill Calc.'!$D$18="No",'AES Indiana Bill Calc.'!$D$20="Yes 2020"),'AES Indiana Bill Calc.'!$D$19,-1)</f>
        <v>-1</v>
      </c>
      <c r="C719" s="103">
        <f>MAX(E719,$C$667)</f>
        <v>100</v>
      </c>
      <c r="D719" s="103" t="b">
        <f>IF(AND('AES Indiana Bill Calc.'!$D$17="PH",'AES Indiana Bill Calc.'!$D$18="No",'AES Indiana Bill Calc.'!$D$20="Yes 2020"),'AES Indiana Bill Calc.'!$D$22)</f>
        <v>0</v>
      </c>
      <c r="E719" s="103" t="b">
        <f>IF(AND('AES Indiana Bill Calc.'!$D$17="PH",'AES Indiana Bill Calc.'!$D$18="No",'AES Indiana Bill Calc.'!$D$20="Yes 2020"),'AES Indiana Bill Calc.'!$D$21)</f>
        <v>0</v>
      </c>
      <c r="F719" s="36" t="s">
        <v>228</v>
      </c>
      <c r="G719" s="138" t="e">
        <f>MAX(I719,P718)</f>
        <v>#N/A</v>
      </c>
      <c r="H719" s="19" t="e">
        <f>IF(ISBLANK(B719),0,+#REF!/B719)</f>
        <v>#REF!</v>
      </c>
      <c r="I719" s="115">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0.01</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ht="13" x14ac:dyDescent="0.3">
      <c r="A720" s="9"/>
      <c r="B720" s="103">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ht="13" x14ac:dyDescent="0.3">
      <c r="A721" s="1" t="s">
        <v>148</v>
      </c>
      <c r="B721" s="103">
        <f>IF(AND('AES Indiana Bill Calc.'!$D$17="PH",'AES Indiana Bill Calc.'!$D$18="Yes 100%",'AES Indiana Bill Calc.'!$D$20="Yes 2021"),'AES Indiana Bill Calc.'!$D$19,-1)</f>
        <v>-1</v>
      </c>
      <c r="C721" s="103">
        <f>MAX(E721,$C$667)</f>
        <v>100</v>
      </c>
      <c r="D721" s="103" t="b">
        <f>IF(AND('AES Indiana Bill Calc.'!$D$17="PH",'AES Indiana Bill Calc.'!$D$18="Yes 100%",'AES Indiana Bill Calc.'!$D$20="Yes 2021"),'AES Indiana Bill Calc.'!$D$22)</f>
        <v>0</v>
      </c>
      <c r="E721" s="103" t="b">
        <f>IF(AND('AES Indiana Bill Calc.'!$D$17="PH",'AES Indiana Bill Calc.'!$D$18="Yes 100%",'AES Indiana Bill Calc.'!$D$20="Yes 2021"),'AES Indiana Bill Calc.'!$D$21)</f>
        <v>0</v>
      </c>
      <c r="F721" s="36" t="s">
        <v>229</v>
      </c>
      <c r="G721" s="138" t="e">
        <f>MAX(I721,P720)</f>
        <v>#N/A</v>
      </c>
      <c r="H721" s="19" t="e">
        <f>IF(ISBLANK(B721),0,+#REF!/B721)</f>
        <v>#REF!</v>
      </c>
      <c r="I721" s="115">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0.01</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ht="13" x14ac:dyDescent="0.3">
      <c r="A722" s="9"/>
      <c r="B722" s="103">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ht="13" x14ac:dyDescent="0.3">
      <c r="A723" s="1" t="s">
        <v>149</v>
      </c>
      <c r="B723" s="103">
        <f>IF(AND('AES Indiana Bill Calc.'!$D$17="PH",'AES Indiana Bill Calc.'!$D$18="Yes 50%",'AES Indiana Bill Calc.'!$D$20="Yes 2021"),'AES Indiana Bill Calc.'!$D$19,-1)</f>
        <v>-1</v>
      </c>
      <c r="C723" s="103">
        <f>MAX(E723,$C$667)</f>
        <v>100</v>
      </c>
      <c r="D723" s="103" t="b">
        <f>IF(AND('AES Indiana Bill Calc.'!$D$17="PH",'AES Indiana Bill Calc.'!$D$18="Yes 50%",'AES Indiana Bill Calc.'!$D$20="Yes 2021"),'AES Indiana Bill Calc.'!$D$22)</f>
        <v>0</v>
      </c>
      <c r="E723" s="103" t="b">
        <f>IF(AND('AES Indiana Bill Calc.'!$D$17="PH",'AES Indiana Bill Calc.'!$D$18="Yes 50%",'AES Indiana Bill Calc.'!$D$20="Yes 2021"),'AES Indiana Bill Calc.'!$D$21)</f>
        <v>0</v>
      </c>
      <c r="F723" s="36" t="s">
        <v>229</v>
      </c>
      <c r="G723" s="138" t="e">
        <f>MAX(I723,P722)</f>
        <v>#N/A</v>
      </c>
      <c r="H723" s="19" t="e">
        <f>IF(ISBLANK(B723),0,+#REF!/B723)</f>
        <v>#REF!</v>
      </c>
      <c r="I723" s="115">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0.01</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ht="13" x14ac:dyDescent="0.3">
      <c r="A724" s="9"/>
      <c r="B724" s="103">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ht="13" x14ac:dyDescent="0.3">
      <c r="A725" s="1" t="s">
        <v>150</v>
      </c>
      <c r="B725" s="103">
        <f>IF(AND('AES Indiana Bill Calc.'!$D$17="PH",'AES Indiana Bill Calc.'!$D$18="Yes 25%",'AES Indiana Bill Calc.'!$D$20="Yes 2021"),'AES Indiana Bill Calc.'!$D$19,-1)</f>
        <v>-1</v>
      </c>
      <c r="C725" s="103">
        <f>MAX(E725,$C$667)</f>
        <v>100</v>
      </c>
      <c r="D725" s="103" t="b">
        <f>IF(AND('AES Indiana Bill Calc.'!$D$17="PH",'AES Indiana Bill Calc.'!$D$18="Yes 25%",'AES Indiana Bill Calc.'!$D$20="Yes 2021"),'AES Indiana Bill Calc.'!$D$22)</f>
        <v>0</v>
      </c>
      <c r="E725" s="103" t="b">
        <f>IF(AND('AES Indiana Bill Calc.'!$D$17="PH",'AES Indiana Bill Calc.'!$D$18="Yes 25%",'AES Indiana Bill Calc.'!$D$20="Yes 2021"),'AES Indiana Bill Calc.'!$D$21)</f>
        <v>0</v>
      </c>
      <c r="F725" s="36" t="s">
        <v>229</v>
      </c>
      <c r="G725" s="138" t="e">
        <f>MAX(I725,P724)</f>
        <v>#N/A</v>
      </c>
      <c r="H725" s="19" t="e">
        <f>IF(ISBLANK(B725),0,+#REF!/B725)</f>
        <v>#REF!</v>
      </c>
      <c r="I725" s="115">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0.01</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ht="13" x14ac:dyDescent="0.3">
      <c r="A726" s="9"/>
      <c r="B726" s="103">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ht="13" x14ac:dyDescent="0.3">
      <c r="A727" s="1" t="s">
        <v>164</v>
      </c>
      <c r="B727" s="103">
        <f>IF(AND('AES Indiana Bill Calc.'!$D$17="PH",'AES Indiana Bill Calc.'!$D$18="Yes 10%",'AES Indiana Bill Calc.'!$D$20="Yes 2021"),'AES Indiana Bill Calc.'!$D$19,-1)</f>
        <v>-1</v>
      </c>
      <c r="C727" s="103">
        <f>MAX(E727,$C$667)</f>
        <v>100</v>
      </c>
      <c r="D727" s="103" t="b">
        <f>IF(AND('AES Indiana Bill Calc.'!$D$17="PH",'AES Indiana Bill Calc.'!$D$18="Yes 10%",'AES Indiana Bill Calc.'!$D$20="Yes 2021"),'AES Indiana Bill Calc.'!$D$22)</f>
        <v>0</v>
      </c>
      <c r="E727" s="103" t="b">
        <f>IF(AND('AES Indiana Bill Calc.'!$D$17="PH",'AES Indiana Bill Calc.'!$D$18="Yes 10%",'AES Indiana Bill Calc.'!$D$20="Yes 2021"),'AES Indiana Bill Calc.'!$D$21)</f>
        <v>0</v>
      </c>
      <c r="F727" s="36" t="s">
        <v>229</v>
      </c>
      <c r="G727" s="138" t="e">
        <f>MAX(I727,P726)</f>
        <v>#N/A</v>
      </c>
      <c r="H727" s="19" t="e">
        <f>IF(ISBLANK(B727),0,+#REF!/B727)</f>
        <v>#REF!</v>
      </c>
      <c r="I727" s="115">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0.01</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ht="13" x14ac:dyDescent="0.3">
      <c r="A728" s="9"/>
      <c r="B728" s="103">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ht="13" x14ac:dyDescent="0.3">
      <c r="A729" s="1" t="s">
        <v>147</v>
      </c>
      <c r="B729" s="103">
        <f>IF(AND('AES Indiana Bill Calc.'!$D$17="PH",'AES Indiana Bill Calc.'!$D$18="No",'AES Indiana Bill Calc.'!$D$20="Yes 2021"),'AES Indiana Bill Calc.'!$D$19,-1)</f>
        <v>-1</v>
      </c>
      <c r="C729" s="103">
        <f>MAX(E729,$C$667)</f>
        <v>100</v>
      </c>
      <c r="D729" s="103" t="b">
        <f>IF(AND('AES Indiana Bill Calc.'!$D$17="PH",'AES Indiana Bill Calc.'!$D$18="No",'AES Indiana Bill Calc.'!$D$20="Yes 2021"),'AES Indiana Bill Calc.'!$D$22)</f>
        <v>0</v>
      </c>
      <c r="E729" s="103" t="b">
        <f>IF(AND('AES Indiana Bill Calc.'!$D$17="PH",'AES Indiana Bill Calc.'!$D$18="No",'AES Indiana Bill Calc.'!$D$20="Yes 2021"),'AES Indiana Bill Calc.'!$D$21)</f>
        <v>0</v>
      </c>
      <c r="F729" s="36" t="s">
        <v>229</v>
      </c>
      <c r="G729" s="138" t="e">
        <f>MAX(I729,P728)</f>
        <v>#N/A</v>
      </c>
      <c r="H729" s="19" t="e">
        <f>IF(ISBLANK(B729),0,+#REF!/B729)</f>
        <v>#REF!</v>
      </c>
      <c r="I729" s="115">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0.01</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ht="13" x14ac:dyDescent="0.3">
      <c r="A730" s="9"/>
      <c r="B730" s="103">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ht="13" x14ac:dyDescent="0.3">
      <c r="A731" s="1" t="s">
        <v>148</v>
      </c>
      <c r="B731" s="103">
        <f>IF(AND('AES Indiana Bill Calc.'!$D$17="PH",'AES Indiana Bill Calc.'!$D$18="Yes 100%",'AES Indiana Bill Calc.'!$D$20="Yes 2022"),'AES Indiana Bill Calc.'!$D$19,-1)</f>
        <v>-1</v>
      </c>
      <c r="C731" s="103">
        <f>MAX(E731,$C$667)</f>
        <v>100</v>
      </c>
      <c r="D731" s="103" t="b">
        <f>IF(AND('AES Indiana Bill Calc.'!$D$17="PH",'AES Indiana Bill Calc.'!$D$18="Yes 100%",'AES Indiana Bill Calc.'!$D$20="Yes 2022"),'AES Indiana Bill Calc.'!$D$22)</f>
        <v>0</v>
      </c>
      <c r="E731" s="103" t="b">
        <f>IF(AND('AES Indiana Bill Calc.'!$D$17="PH",'AES Indiana Bill Calc.'!$D$18="Yes 100%",'AES Indiana Bill Calc.'!$D$20="Yes 2022"),'AES Indiana Bill Calc.'!$D$21)</f>
        <v>0</v>
      </c>
      <c r="F731" s="36" t="s">
        <v>230</v>
      </c>
      <c r="G731" s="138" t="e">
        <f>MAX(I731,P730)</f>
        <v>#N/A</v>
      </c>
      <c r="H731" s="19" t="e">
        <f>IF(ISBLANK(B731),0,+#REF!/B731)</f>
        <v>#REF!</v>
      </c>
      <c r="I731" s="115">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0.01</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ht="13" x14ac:dyDescent="0.3">
      <c r="A732" s="9"/>
      <c r="B732" s="103">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ht="13" x14ac:dyDescent="0.3">
      <c r="A733" s="1" t="s">
        <v>149</v>
      </c>
      <c r="B733" s="103">
        <f>IF(AND('AES Indiana Bill Calc.'!$D$17="PH",'AES Indiana Bill Calc.'!$D$18="Yes 50%",'AES Indiana Bill Calc.'!$D$20="Yes 2022"),'AES Indiana Bill Calc.'!$D$19,-1)</f>
        <v>-1</v>
      </c>
      <c r="C733" s="103">
        <f>MAX(E733,$C$667)</f>
        <v>100</v>
      </c>
      <c r="D733" s="103" t="b">
        <f>IF(AND('AES Indiana Bill Calc.'!$D$17="PH",'AES Indiana Bill Calc.'!$D$18="Yes 50%",'AES Indiana Bill Calc.'!$D$20="Yes 2022"),'AES Indiana Bill Calc.'!$D$22)</f>
        <v>0</v>
      </c>
      <c r="E733" s="103" t="b">
        <f>IF(AND('AES Indiana Bill Calc.'!$D$17="PH",'AES Indiana Bill Calc.'!$D$18="Yes 50%",'AES Indiana Bill Calc.'!$D$20="Yes 2022"),'AES Indiana Bill Calc.'!$D$21)</f>
        <v>0</v>
      </c>
      <c r="F733" s="36" t="s">
        <v>230</v>
      </c>
      <c r="G733" s="138" t="e">
        <f>MAX(I733,P732)</f>
        <v>#N/A</v>
      </c>
      <c r="H733" s="19" t="e">
        <f>IF(ISBLANK(B733),0,+#REF!/B733)</f>
        <v>#REF!</v>
      </c>
      <c r="I733" s="115">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0.01</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ht="13" x14ac:dyDescent="0.3">
      <c r="A734" s="9"/>
      <c r="B734" s="103">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ht="13" x14ac:dyDescent="0.3">
      <c r="A735" s="1" t="s">
        <v>150</v>
      </c>
      <c r="B735" s="103">
        <f>IF(AND('AES Indiana Bill Calc.'!$D$17="PH",'AES Indiana Bill Calc.'!$D$18="Yes 25%",'AES Indiana Bill Calc.'!$D$20="Yes 2022"),'AES Indiana Bill Calc.'!$D$19,-1)</f>
        <v>-1</v>
      </c>
      <c r="C735" s="103">
        <f>MAX(E735,$C$667)</f>
        <v>100</v>
      </c>
      <c r="D735" s="103" t="b">
        <f>IF(AND('AES Indiana Bill Calc.'!$D$17="PH",'AES Indiana Bill Calc.'!$D$18="Yes 25%",'AES Indiana Bill Calc.'!$D$20="Yes 2022"),'AES Indiana Bill Calc.'!$D$22)</f>
        <v>0</v>
      </c>
      <c r="E735" s="103" t="b">
        <f>IF(AND('AES Indiana Bill Calc.'!$D$17="PH",'AES Indiana Bill Calc.'!$D$18="Yes 25%",'AES Indiana Bill Calc.'!$D$20="Yes 2022"),'AES Indiana Bill Calc.'!$D$21)</f>
        <v>0</v>
      </c>
      <c r="F735" s="36" t="s">
        <v>230</v>
      </c>
      <c r="G735" s="138" t="e">
        <f>MAX(I735,P734)</f>
        <v>#N/A</v>
      </c>
      <c r="H735" s="19" t="e">
        <f>IF(ISBLANK(B735),0,+#REF!/B735)</f>
        <v>#REF!</v>
      </c>
      <c r="I735" s="115">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0.01</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ht="13" x14ac:dyDescent="0.3">
      <c r="A736" s="9"/>
      <c r="B736" s="103">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ht="13" x14ac:dyDescent="0.3">
      <c r="A737" s="1" t="s">
        <v>164</v>
      </c>
      <c r="B737" s="103">
        <f>IF(AND('AES Indiana Bill Calc.'!$D$17="PH",'AES Indiana Bill Calc.'!$D$18="Yes 10%",'AES Indiana Bill Calc.'!$D$20="Yes 2022"),'AES Indiana Bill Calc.'!$D$19,-1)</f>
        <v>-1</v>
      </c>
      <c r="C737" s="103">
        <f>MAX(E737,$C$667)</f>
        <v>100</v>
      </c>
      <c r="D737" s="103" t="b">
        <f>IF(AND('AES Indiana Bill Calc.'!$D$17="PH",'AES Indiana Bill Calc.'!$D$18="Yes 10%",'AES Indiana Bill Calc.'!$D$20="Yes 2022"),'AES Indiana Bill Calc.'!$D$22)</f>
        <v>0</v>
      </c>
      <c r="E737" s="103" t="b">
        <f>IF(AND('AES Indiana Bill Calc.'!$D$17="PH",'AES Indiana Bill Calc.'!$D$18="Yes 10%",'AES Indiana Bill Calc.'!$D$20="Yes 2022"),'AES Indiana Bill Calc.'!$D$21)</f>
        <v>0</v>
      </c>
      <c r="F737" s="36" t="s">
        <v>230</v>
      </c>
      <c r="G737" s="138" t="e">
        <f>MAX(I737,P736)</f>
        <v>#N/A</v>
      </c>
      <c r="H737" s="19" t="e">
        <f>IF(ISBLANK(B737),0,+#REF!/B737)</f>
        <v>#REF!</v>
      </c>
      <c r="I737" s="115">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0.01</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ht="13" x14ac:dyDescent="0.3">
      <c r="A738" s="9"/>
      <c r="B738" s="103">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ht="13" x14ac:dyDescent="0.3">
      <c r="A739" s="1" t="s">
        <v>147</v>
      </c>
      <c r="B739" s="103">
        <f>IF(AND('AES Indiana Bill Calc.'!$D$17="PH",'AES Indiana Bill Calc.'!$D$18="No",'AES Indiana Bill Calc.'!$D$20="Yes 2022"),'AES Indiana Bill Calc.'!$D$19,-1)</f>
        <v>-1</v>
      </c>
      <c r="C739" s="103">
        <f>MAX(E739,$C$667)</f>
        <v>100</v>
      </c>
      <c r="D739" s="103" t="b">
        <f>IF(AND('AES Indiana Bill Calc.'!$D$17="PH",'AES Indiana Bill Calc.'!$D$18="No",'AES Indiana Bill Calc.'!$D$20="Yes 2022"),'AES Indiana Bill Calc.'!$D$22)</f>
        <v>0</v>
      </c>
      <c r="E739" s="103" t="b">
        <f>IF(AND('AES Indiana Bill Calc.'!$D$17="PH",'AES Indiana Bill Calc.'!$D$18="No",'AES Indiana Bill Calc.'!$D$20="Yes 2022"),'AES Indiana Bill Calc.'!$D$21)</f>
        <v>0</v>
      </c>
      <c r="F739" s="36" t="s">
        <v>230</v>
      </c>
      <c r="G739" s="138" t="e">
        <f>MAX(I739,P738)</f>
        <v>#N/A</v>
      </c>
      <c r="H739" s="19" t="e">
        <f>IF(ISBLANK(B739),0,+#REF!/B739)</f>
        <v>#REF!</v>
      </c>
      <c r="I739" s="115">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0.01</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ht="13" x14ac:dyDescent="0.3">
      <c r="A740" s="9"/>
      <c r="B740" s="103">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ht="13" x14ac:dyDescent="0.3">
      <c r="A741" s="1" t="s">
        <v>148</v>
      </c>
      <c r="B741" s="103">
        <f>IF(AND('AES Indiana Bill Calc.'!$D$17="PH",'AES Indiana Bill Calc.'!$D$18="Yes 100%",'AES Indiana Bill Calc.'!$D$20="Yes 2023"),'AES Indiana Bill Calc.'!$D$19,-1)</f>
        <v>-1</v>
      </c>
      <c r="C741" s="103">
        <f>MAX(E741,$C$667)</f>
        <v>100</v>
      </c>
      <c r="D741" s="103" t="b">
        <f>IF(AND('AES Indiana Bill Calc.'!$D$17="PH",'AES Indiana Bill Calc.'!$D$18="Yes 100%",'AES Indiana Bill Calc.'!$D$20="Yes 2023"),'AES Indiana Bill Calc.'!$D$22)</f>
        <v>0</v>
      </c>
      <c r="E741" s="103" t="b">
        <f>IF(AND('AES Indiana Bill Calc.'!$D$17="PH",'AES Indiana Bill Calc.'!$D$18="Yes 100%",'AES Indiana Bill Calc.'!$D$20="Yes 2023"),'AES Indiana Bill Calc.'!$D$21)</f>
        <v>0</v>
      </c>
      <c r="F741" s="36" t="s">
        <v>231</v>
      </c>
      <c r="G741" s="138" t="e">
        <f>MAX(I741,P740)</f>
        <v>#N/A</v>
      </c>
      <c r="H741" s="19" t="e">
        <f>IF(ISBLANK(B741),0,+#REF!/B741)</f>
        <v>#REF!</v>
      </c>
      <c r="I741" s="115">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0.01</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ht="13" x14ac:dyDescent="0.3">
      <c r="A742" s="9"/>
      <c r="B742" s="103">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ht="13" x14ac:dyDescent="0.3">
      <c r="A743" s="1" t="s">
        <v>149</v>
      </c>
      <c r="B743" s="103">
        <f>IF(AND('AES Indiana Bill Calc.'!$D$17="PH",'AES Indiana Bill Calc.'!$D$18="Yes 50%",'AES Indiana Bill Calc.'!$D$20="Yes 2023"),'AES Indiana Bill Calc.'!$D$19,-1)</f>
        <v>-1</v>
      </c>
      <c r="C743" s="103">
        <f>MAX(E743,$C$667)</f>
        <v>100</v>
      </c>
      <c r="D743" s="103" t="b">
        <f>IF(AND('AES Indiana Bill Calc.'!$D$17="PH",'AES Indiana Bill Calc.'!$D$18="Yes 50%",'AES Indiana Bill Calc.'!$D$20="Yes 2023"),'AES Indiana Bill Calc.'!$D$22)</f>
        <v>0</v>
      </c>
      <c r="E743" s="103" t="b">
        <f>IF(AND('AES Indiana Bill Calc.'!$D$17="PH",'AES Indiana Bill Calc.'!$D$18="Yes 50%",'AES Indiana Bill Calc.'!$D$20="Yes 2023"),'AES Indiana Bill Calc.'!$D$21)</f>
        <v>0</v>
      </c>
      <c r="F743" s="36" t="s">
        <v>231</v>
      </c>
      <c r="G743" s="138" t="e">
        <f>MAX(I743,P742)</f>
        <v>#N/A</v>
      </c>
      <c r="H743" s="19" t="e">
        <f>IF(ISBLANK(B743),0,+#REF!/B743)</f>
        <v>#REF!</v>
      </c>
      <c r="I743" s="115">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0.01</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ht="13" x14ac:dyDescent="0.3">
      <c r="A744" s="9"/>
      <c r="B744" s="103">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ht="13" x14ac:dyDescent="0.3">
      <c r="A745" s="1" t="s">
        <v>150</v>
      </c>
      <c r="B745" s="103">
        <f>IF(AND('AES Indiana Bill Calc.'!$D$17="PH",'AES Indiana Bill Calc.'!$D$18="Yes 25%",'AES Indiana Bill Calc.'!$D$20="Yes 2023"),'AES Indiana Bill Calc.'!$D$19,-1)</f>
        <v>-1</v>
      </c>
      <c r="C745" s="103">
        <f>MAX(E745,$C$667)</f>
        <v>100</v>
      </c>
      <c r="D745" s="103" t="b">
        <f>IF(AND('AES Indiana Bill Calc.'!$D$17="PH",'AES Indiana Bill Calc.'!$D$18="Yes 25%",'AES Indiana Bill Calc.'!$D$20="Yes 2023"),'AES Indiana Bill Calc.'!$D$22)</f>
        <v>0</v>
      </c>
      <c r="E745" s="103" t="b">
        <f>IF(AND('AES Indiana Bill Calc.'!$D$17="PH",'AES Indiana Bill Calc.'!$D$18="Yes 25%",'AES Indiana Bill Calc.'!$D$20="Yes 2023"),'AES Indiana Bill Calc.'!$D$21)</f>
        <v>0</v>
      </c>
      <c r="F745" s="36" t="s">
        <v>231</v>
      </c>
      <c r="G745" s="138" t="e">
        <f>MAX(I745,P744)</f>
        <v>#N/A</v>
      </c>
      <c r="H745" s="19" t="e">
        <f>IF(ISBLANK(B745),0,+#REF!/B745)</f>
        <v>#REF!</v>
      </c>
      <c r="I745" s="115">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0.01</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ht="13" x14ac:dyDescent="0.3">
      <c r="A746" s="9"/>
      <c r="B746" s="103">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ht="13" x14ac:dyDescent="0.3">
      <c r="A747" s="1" t="s">
        <v>164</v>
      </c>
      <c r="B747" s="103">
        <f>IF(AND('AES Indiana Bill Calc.'!$D$17="PH",'AES Indiana Bill Calc.'!$D$18="Yes 10%",'AES Indiana Bill Calc.'!$D$20="Yes 2023"),'AES Indiana Bill Calc.'!$D$19,-1)</f>
        <v>-1</v>
      </c>
      <c r="C747" s="103">
        <f>MAX(E747,$C$667)</f>
        <v>100</v>
      </c>
      <c r="D747" s="103" t="b">
        <f>IF(AND('AES Indiana Bill Calc.'!$D$17="PH",'AES Indiana Bill Calc.'!$D$18="Yes 10%",'AES Indiana Bill Calc.'!$D$20="Yes 2023"),'AES Indiana Bill Calc.'!$D$22)</f>
        <v>0</v>
      </c>
      <c r="E747" s="103" t="b">
        <f>IF(AND('AES Indiana Bill Calc.'!$D$17="PH",'AES Indiana Bill Calc.'!$D$18="Yes 10%",'AES Indiana Bill Calc.'!$D$20="Yes 2023"),'AES Indiana Bill Calc.'!$D$21)</f>
        <v>0</v>
      </c>
      <c r="F747" s="36" t="s">
        <v>231</v>
      </c>
      <c r="G747" s="138" t="e">
        <f>MAX(I747,P746)</f>
        <v>#N/A</v>
      </c>
      <c r="H747" s="19" t="e">
        <f>IF(ISBLANK(B747),0,+#REF!/B747)</f>
        <v>#REF!</v>
      </c>
      <c r="I747" s="115">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0.01</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ht="13" x14ac:dyDescent="0.3">
      <c r="A748" s="9"/>
      <c r="B748" s="103">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43"/>
      <c r="W748" s="12"/>
      <c r="X748" s="12"/>
      <c r="Y748" s="12"/>
      <c r="Z748" s="12"/>
      <c r="AA748" s="12"/>
    </row>
    <row r="749" spans="1:29" ht="13" x14ac:dyDescent="0.3">
      <c r="A749" s="1" t="s">
        <v>147</v>
      </c>
      <c r="B749" s="103">
        <f>IF(AND('AES Indiana Bill Calc.'!$D$17="PH",'AES Indiana Bill Calc.'!$D$18="No",'AES Indiana Bill Calc.'!$D$20="Yes 2023"),'AES Indiana Bill Calc.'!$D$19,-1)</f>
        <v>-1</v>
      </c>
      <c r="C749" s="103">
        <f>MAX(E749,$C$667)</f>
        <v>100</v>
      </c>
      <c r="D749" s="103" t="b">
        <f>IF(AND('AES Indiana Bill Calc.'!$D$17="PH",'AES Indiana Bill Calc.'!$D$18="No",'AES Indiana Bill Calc.'!$D$20="Yes 2023"),'AES Indiana Bill Calc.'!$D$22)</f>
        <v>0</v>
      </c>
      <c r="E749" s="103" t="b">
        <f>IF(AND('AES Indiana Bill Calc.'!$D$17="PH",'AES Indiana Bill Calc.'!$D$18="No",'AES Indiana Bill Calc.'!$D$20="Yes 2023"),'AES Indiana Bill Calc.'!$D$21)</f>
        <v>0</v>
      </c>
      <c r="F749" s="36" t="s">
        <v>231</v>
      </c>
      <c r="G749" s="138" t="e">
        <f>MAX(I749,P748)</f>
        <v>#N/A</v>
      </c>
      <c r="H749" s="19" t="e">
        <f>IF(ISBLANK(B749),0,+#REF!/B749)</f>
        <v>#REF!</v>
      </c>
      <c r="I749" s="115">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0.01</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ht="13" x14ac:dyDescent="0.3">
      <c r="A750" s="9"/>
      <c r="B750" s="103">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ht="13" x14ac:dyDescent="0.3">
      <c r="A751" s="1" t="s">
        <v>148</v>
      </c>
      <c r="B751" s="103">
        <f>IF(AND('AES Indiana Bill Calc.'!$D$17="PH",'AES Indiana Bill Calc.'!$D$18="Yes 100%",'AES Indiana Bill Calc.'!$D$20="Yes 2024"),'AES Indiana Bill Calc.'!$D$19,-1)</f>
        <v>-1</v>
      </c>
      <c r="C751" s="103">
        <f>MAX(E751,$C$667)</f>
        <v>100</v>
      </c>
      <c r="D751" s="103" t="b">
        <f>IF(AND('AES Indiana Bill Calc.'!$D$17="PH",'AES Indiana Bill Calc.'!$D$18="Yes 100%",'AES Indiana Bill Calc.'!$D$20="Yes 2024"),'AES Indiana Bill Calc.'!$D$22)</f>
        <v>0</v>
      </c>
      <c r="E751" s="103" t="b">
        <f>IF(AND('AES Indiana Bill Calc.'!$D$17="PH",'AES Indiana Bill Calc.'!$D$18="Yes 100%",'AES Indiana Bill Calc.'!$D$20="Yes 2024"),'AES Indiana Bill Calc.'!$D$21)</f>
        <v>0</v>
      </c>
      <c r="F751" s="36" t="s">
        <v>304</v>
      </c>
      <c r="G751" s="138" t="e">
        <f>MAX(I751,P750)</f>
        <v>#N/A</v>
      </c>
      <c r="H751" s="19" t="e">
        <f>IF(ISBLANK(B751),0,+#REF!/B751)</f>
        <v>#REF!</v>
      </c>
      <c r="I751" s="115">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0.01</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ht="13" x14ac:dyDescent="0.3">
      <c r="A752" s="9"/>
      <c r="B752" s="103">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ht="13" x14ac:dyDescent="0.3">
      <c r="A753" s="1" t="s">
        <v>149</v>
      </c>
      <c r="B753" s="103">
        <f>IF(AND('AES Indiana Bill Calc.'!$D$17="PH",'AES Indiana Bill Calc.'!$D$18="Yes 50%",'AES Indiana Bill Calc.'!$D$20="Yes 2024"),'AES Indiana Bill Calc.'!$D$19,-1)</f>
        <v>-1</v>
      </c>
      <c r="C753" s="103">
        <f>MAX(E753,$C$667)</f>
        <v>100</v>
      </c>
      <c r="D753" s="103" t="b">
        <f>IF(AND('AES Indiana Bill Calc.'!$D$17="PH",'AES Indiana Bill Calc.'!$D$18="Yes 50%",'AES Indiana Bill Calc.'!$D$20="Yes 2024"),'AES Indiana Bill Calc.'!$D$22)</f>
        <v>0</v>
      </c>
      <c r="E753" s="103" t="b">
        <f>IF(AND('AES Indiana Bill Calc.'!$D$17="PH",'AES Indiana Bill Calc.'!$D$18="Yes 50%",'AES Indiana Bill Calc.'!$D$20="Yes 2024"),'AES Indiana Bill Calc.'!$D$21)</f>
        <v>0</v>
      </c>
      <c r="F753" s="36" t="s">
        <v>304</v>
      </c>
      <c r="G753" s="138" t="e">
        <f>MAX(I753,P752)</f>
        <v>#N/A</v>
      </c>
      <c r="H753" s="19" t="e">
        <f>IF(ISBLANK(B753),0,+#REF!/B753)</f>
        <v>#REF!</v>
      </c>
      <c r="I753" s="115">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0.01</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ht="13" x14ac:dyDescent="0.3">
      <c r="A754" s="9"/>
      <c r="B754" s="103">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ht="13" x14ac:dyDescent="0.3">
      <c r="A755" s="1" t="s">
        <v>150</v>
      </c>
      <c r="B755" s="103">
        <f>IF(AND('AES Indiana Bill Calc.'!$D$17="PH",'AES Indiana Bill Calc.'!$D$18="Yes 25%",'AES Indiana Bill Calc.'!$D$20="Yes 2024"),'AES Indiana Bill Calc.'!$D$19,-1)</f>
        <v>-1</v>
      </c>
      <c r="C755" s="103">
        <f>MAX(E755,$C$667)</f>
        <v>100</v>
      </c>
      <c r="D755" s="103" t="b">
        <f>IF(AND('AES Indiana Bill Calc.'!$D$17="PH",'AES Indiana Bill Calc.'!$D$18="Yes 25%",'AES Indiana Bill Calc.'!$D$20="Yes 2024"),'AES Indiana Bill Calc.'!$D$22)</f>
        <v>0</v>
      </c>
      <c r="E755" s="103" t="b">
        <f>IF(AND('AES Indiana Bill Calc.'!$D$17="PH",'AES Indiana Bill Calc.'!$D$18="Yes 25%",'AES Indiana Bill Calc.'!$D$20="Yes 2024"),'AES Indiana Bill Calc.'!$D$21)</f>
        <v>0</v>
      </c>
      <c r="F755" s="36" t="s">
        <v>304</v>
      </c>
      <c r="G755" s="138" t="e">
        <f>MAX(I755,P754)</f>
        <v>#N/A</v>
      </c>
      <c r="H755" s="19" t="e">
        <f>IF(ISBLANK(B755),0,+#REF!/B755)</f>
        <v>#REF!</v>
      </c>
      <c r="I755" s="115">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0.01</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ht="13" x14ac:dyDescent="0.3">
      <c r="A756" s="9"/>
      <c r="B756" s="103">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ht="13" x14ac:dyDescent="0.3">
      <c r="A757" s="1" t="s">
        <v>164</v>
      </c>
      <c r="B757" s="103">
        <f>IF(AND('AES Indiana Bill Calc.'!$D$17="PH",'AES Indiana Bill Calc.'!$D$18="Yes 10%",'AES Indiana Bill Calc.'!$D$20="Yes 2024"),'AES Indiana Bill Calc.'!$D$19,-1)</f>
        <v>-1</v>
      </c>
      <c r="C757" s="103">
        <f>MAX(E757,$C$667)</f>
        <v>100</v>
      </c>
      <c r="D757" s="103" t="b">
        <f>IF(AND('AES Indiana Bill Calc.'!$D$17="PH",'AES Indiana Bill Calc.'!$D$18="Yes 10%",'AES Indiana Bill Calc.'!$D$20="Yes 2024"),'AES Indiana Bill Calc.'!$D$22)</f>
        <v>0</v>
      </c>
      <c r="E757" s="103" t="b">
        <f>IF(AND('AES Indiana Bill Calc.'!$D$17="PH",'AES Indiana Bill Calc.'!$D$18="Yes 10%",'AES Indiana Bill Calc.'!$D$20="Yes 2024"),'AES Indiana Bill Calc.'!$D$21)</f>
        <v>0</v>
      </c>
      <c r="F757" s="36" t="s">
        <v>304</v>
      </c>
      <c r="G757" s="138" t="e">
        <f>MAX(I757,P756)</f>
        <v>#N/A</v>
      </c>
      <c r="H757" s="19" t="e">
        <f>IF(ISBLANK(B757),0,+#REF!/B757)</f>
        <v>#REF!</v>
      </c>
      <c r="I757" s="115">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0.01</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ht="13" x14ac:dyDescent="0.3">
      <c r="A758" s="9"/>
      <c r="B758" s="103">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43"/>
      <c r="W758" s="12"/>
      <c r="X758" s="12"/>
      <c r="Y758" s="12"/>
      <c r="Z758" s="12"/>
      <c r="AA758" s="12"/>
    </row>
    <row r="759" spans="1:29" ht="13" x14ac:dyDescent="0.3">
      <c r="A759" s="1" t="s">
        <v>147</v>
      </c>
      <c r="B759" s="103">
        <f>IF(AND('AES Indiana Bill Calc.'!$D$17="PH",'AES Indiana Bill Calc.'!$D$18="No",'AES Indiana Bill Calc.'!$D$20="Yes 2024"),'AES Indiana Bill Calc.'!$D$19,-1)</f>
        <v>-1</v>
      </c>
      <c r="C759" s="103">
        <f>MAX(E759,$C$667)</f>
        <v>100</v>
      </c>
      <c r="D759" s="103" t="b">
        <f>IF(AND('AES Indiana Bill Calc.'!$D$17="PH",'AES Indiana Bill Calc.'!$D$18="No",'AES Indiana Bill Calc.'!$D$20="Yes 2024"),'AES Indiana Bill Calc.'!$D$22)</f>
        <v>0</v>
      </c>
      <c r="E759" s="103" t="b">
        <f>IF(AND('AES Indiana Bill Calc.'!$D$17="PH",'AES Indiana Bill Calc.'!$D$18="No",'AES Indiana Bill Calc.'!$D$20="Yes 2024"),'AES Indiana Bill Calc.'!$D$21)</f>
        <v>0</v>
      </c>
      <c r="F759" s="36" t="s">
        <v>304</v>
      </c>
      <c r="G759" s="138" t="e">
        <f>MAX(I759,P758)</f>
        <v>#N/A</v>
      </c>
      <c r="H759" s="19" t="e">
        <f>IF(ISBLANK(B759),0,+#REF!/B759)</f>
        <v>#REF!</v>
      </c>
      <c r="I759" s="115">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0.01</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ht="13" x14ac:dyDescent="0.3">
      <c r="A760" s="80"/>
      <c r="B760" s="103">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5">
      <c r="B761" s="103">
        <v>-1</v>
      </c>
      <c r="C761" s="9"/>
      <c r="D761" s="8"/>
      <c r="G761" s="17"/>
      <c r="H761" s="19"/>
      <c r="I761" s="19"/>
      <c r="J761" s="8"/>
      <c r="K761" s="17"/>
      <c r="L761" s="17"/>
      <c r="M761" s="8"/>
      <c r="N761" s="8"/>
      <c r="O761" s="8"/>
      <c r="P761" s="8"/>
      <c r="Q761" s="8"/>
      <c r="R761" s="8"/>
      <c r="S761" s="17"/>
      <c r="T761" s="17"/>
      <c r="U761" s="17"/>
      <c r="V761" s="27">
        <f>+T8</f>
        <v>0</v>
      </c>
      <c r="W761" s="6" t="s">
        <v>158</v>
      </c>
      <c r="X761" s="17"/>
      <c r="Y761" s="17"/>
      <c r="Z761" s="17"/>
      <c r="AA761" s="17"/>
      <c r="AB761" s="19">
        <f>+AB$771-V$771+V761</f>
        <v>2.7160000000000005E-3</v>
      </c>
    </row>
    <row r="762" spans="1:29" x14ac:dyDescent="0.25">
      <c r="B762" s="103">
        <v>-1</v>
      </c>
      <c r="C762" s="9"/>
      <c r="D762" s="8"/>
      <c r="L762" t="s">
        <v>193</v>
      </c>
      <c r="M762" t="s">
        <v>193</v>
      </c>
      <c r="S762" s="6"/>
      <c r="T762" s="6"/>
      <c r="U762" s="6"/>
      <c r="V762" s="27">
        <f>+$T$12</f>
        <v>0</v>
      </c>
      <c r="W762" s="6" t="s">
        <v>154</v>
      </c>
      <c r="X762" s="6"/>
      <c r="Y762" s="6"/>
      <c r="Z762" s="6"/>
      <c r="AA762" s="6"/>
      <c r="AB762" s="19" t="e">
        <f>+AB$771-V$771+#REF!</f>
        <v>#REF!</v>
      </c>
    </row>
    <row r="763" spans="1:29" x14ac:dyDescent="0.25">
      <c r="B763" s="103">
        <v>-1</v>
      </c>
      <c r="C763" s="9"/>
      <c r="D763" s="8"/>
      <c r="S763" s="6"/>
      <c r="T763" s="6"/>
      <c r="U763" s="6"/>
      <c r="V763" s="27">
        <f>+$T$14</f>
        <v>0</v>
      </c>
      <c r="W763" s="6" t="s">
        <v>155</v>
      </c>
      <c r="X763" s="6"/>
      <c r="Y763" s="6"/>
      <c r="Z763" s="6"/>
      <c r="AA763" s="6"/>
      <c r="AB763" s="19">
        <f>+AB$771-V$771+V762</f>
        <v>2.7160000000000005E-3</v>
      </c>
    </row>
    <row r="764" spans="1:29" x14ac:dyDescent="0.25">
      <c r="B764" s="103">
        <v>-1</v>
      </c>
      <c r="C764" s="9"/>
      <c r="D764" s="8"/>
      <c r="S764" s="6"/>
      <c r="T764" s="6"/>
      <c r="U764" s="6"/>
      <c r="V764" s="27">
        <f>$T$16</f>
        <v>-4.3999999999999999E-5</v>
      </c>
      <c r="W764" s="6" t="s">
        <v>156</v>
      </c>
      <c r="X764" s="6"/>
      <c r="Y764" s="6"/>
      <c r="Z764" s="6"/>
      <c r="AA764" s="6"/>
      <c r="AB764" s="19"/>
    </row>
    <row r="765" spans="1:29" x14ac:dyDescent="0.25">
      <c r="B765" s="103">
        <v>-1</v>
      </c>
      <c r="C765" s="9"/>
      <c r="D765" s="8"/>
      <c r="S765" s="6"/>
      <c r="T765" s="6"/>
      <c r="U765" s="6"/>
      <c r="V765" s="27">
        <f>$T$19</f>
        <v>1.15E-4</v>
      </c>
      <c r="W765" s="6" t="s">
        <v>157</v>
      </c>
      <c r="X765" s="6"/>
      <c r="Y765" s="6"/>
      <c r="Z765" s="6"/>
      <c r="AA765" s="6"/>
      <c r="AB765" s="19"/>
    </row>
    <row r="766" spans="1:29" x14ac:dyDescent="0.25">
      <c r="B766" s="103">
        <v>-1</v>
      </c>
      <c r="C766" s="9"/>
      <c r="D766" s="8"/>
      <c r="S766" s="6"/>
      <c r="T766" s="6"/>
      <c r="U766" s="6"/>
      <c r="V766" s="27">
        <f>$T$21</f>
        <v>4.6099999999999998E-4</v>
      </c>
      <c r="W766" s="6" t="s">
        <v>158</v>
      </c>
      <c r="X766" s="6"/>
      <c r="Y766" s="6"/>
      <c r="Z766" s="6"/>
      <c r="AA766" s="6"/>
      <c r="AB766" s="19"/>
    </row>
    <row r="767" spans="1:29" x14ac:dyDescent="0.25">
      <c r="B767" s="103">
        <v>-1</v>
      </c>
      <c r="C767" s="9"/>
      <c r="D767" s="8"/>
      <c r="S767" s="6"/>
      <c r="T767" s="6"/>
      <c r="U767" s="6"/>
      <c r="V767" s="27">
        <f>$T$23</f>
        <v>-8.1300000000000003E-4</v>
      </c>
      <c r="W767" s="6" t="s">
        <v>159</v>
      </c>
      <c r="X767" s="6"/>
      <c r="Y767" s="6"/>
      <c r="Z767" s="6"/>
      <c r="AA767" s="6"/>
      <c r="AB767" s="19"/>
    </row>
    <row r="768" spans="1:29" x14ac:dyDescent="0.25">
      <c r="B768" s="103">
        <v>-1</v>
      </c>
      <c r="C768" s="33" t="s">
        <v>194</v>
      </c>
      <c r="D768" s="8"/>
      <c r="S768" s="6"/>
      <c r="T768" s="6"/>
      <c r="U768" s="6"/>
      <c r="V768" s="27">
        <f>$T$25</f>
        <v>0</v>
      </c>
      <c r="W768" s="6" t="s">
        <v>160</v>
      </c>
      <c r="X768" s="6"/>
      <c r="Y768" s="6"/>
      <c r="Z768" s="6"/>
      <c r="AA768" s="6"/>
      <c r="AB768" s="19"/>
    </row>
    <row r="769" spans="1:29" x14ac:dyDescent="0.25">
      <c r="B769" s="103">
        <v>-1</v>
      </c>
      <c r="C769" s="9">
        <v>2000</v>
      </c>
      <c r="D769" s="8"/>
      <c r="S769" s="6"/>
      <c r="T769" s="6"/>
      <c r="U769" s="6"/>
      <c r="V769" s="19">
        <f>T27</f>
        <v>0</v>
      </c>
      <c r="W769" s="6" t="s">
        <v>161</v>
      </c>
      <c r="X769" s="6"/>
      <c r="Y769" s="6"/>
      <c r="Z769" s="6"/>
      <c r="AA769" s="6"/>
      <c r="AB769" s="19"/>
    </row>
    <row r="770" spans="1:29" x14ac:dyDescent="0.25">
      <c r="B770" s="103"/>
      <c r="C770" s="9"/>
      <c r="D770" s="8"/>
      <c r="S770" s="6"/>
      <c r="T770" s="6"/>
      <c r="U770" s="6"/>
      <c r="V770" s="19">
        <f>T29</f>
        <v>2.6050000000000001E-3</v>
      </c>
      <c r="W770" s="6" t="s">
        <v>301</v>
      </c>
      <c r="X770" s="6"/>
      <c r="Y770" s="6"/>
      <c r="Z770" s="6"/>
      <c r="AA770" s="6"/>
      <c r="AB770" s="19"/>
    </row>
    <row r="771" spans="1:29" x14ac:dyDescent="0.25">
      <c r="B771" s="103">
        <v>-1</v>
      </c>
      <c r="C771" s="9"/>
      <c r="D771" s="8"/>
      <c r="F771" s="70"/>
      <c r="G771" s="70"/>
      <c r="H771" s="70"/>
      <c r="I771" s="70"/>
      <c r="J771" s="161">
        <v>130</v>
      </c>
      <c r="K771" s="162">
        <v>4.0606000000000003E-2</v>
      </c>
      <c r="L771" s="161">
        <v>27.95</v>
      </c>
      <c r="M771" s="161">
        <v>27.95</v>
      </c>
      <c r="N771" s="72"/>
      <c r="O771" s="72"/>
      <c r="P771" s="72"/>
      <c r="Q771" s="72"/>
      <c r="R771" s="5"/>
      <c r="S771" s="27">
        <f>+S564</f>
        <v>2.5999999999999999E-3</v>
      </c>
      <c r="T771" s="27">
        <f>+T564</f>
        <v>-7.7250000000000001E-3</v>
      </c>
      <c r="U771" s="27">
        <f>+$S$30</f>
        <v>1.305E-3</v>
      </c>
      <c r="V771" s="27">
        <f>+V564</f>
        <v>5.5240000000000003E-3</v>
      </c>
      <c r="W771" s="27">
        <f>+W564</f>
        <v>0</v>
      </c>
      <c r="X771" s="27">
        <f>+V30</f>
        <v>2.5569999999999998E-3</v>
      </c>
      <c r="Y771" s="27">
        <f>+W30</f>
        <v>-1.771E-3</v>
      </c>
      <c r="Z771" s="27">
        <f>+X30</f>
        <v>6.2500000000000001E-4</v>
      </c>
      <c r="AA771" s="27">
        <f>+Y30</f>
        <v>-3.4600000000000001E-4</v>
      </c>
      <c r="AB771" s="19">
        <f>SUM(U771:Z771)</f>
        <v>8.2400000000000008E-3</v>
      </c>
    </row>
    <row r="772" spans="1:29" x14ac:dyDescent="0.25">
      <c r="A772" s="1"/>
      <c r="B772" s="103">
        <v>-1</v>
      </c>
      <c r="C772" s="9"/>
      <c r="D772" s="8"/>
      <c r="F772" s="70"/>
      <c r="G772" s="70"/>
      <c r="H772" s="70"/>
      <c r="I772" s="70"/>
      <c r="J772" s="70"/>
      <c r="K772" s="70"/>
      <c r="L772" s="73">
        <v>4000</v>
      </c>
      <c r="M772" s="70"/>
      <c r="N772" s="70"/>
      <c r="O772" s="70"/>
      <c r="P772" s="70"/>
      <c r="Q772" s="70"/>
    </row>
    <row r="773" spans="1:29" x14ac:dyDescent="0.25">
      <c r="B773" s="103">
        <v>-1</v>
      </c>
      <c r="C773" s="9"/>
      <c r="D773" s="8"/>
      <c r="F773" s="12"/>
      <c r="J773" s="12" t="s">
        <v>137</v>
      </c>
      <c r="K773" s="12" t="s">
        <v>197</v>
      </c>
      <c r="L773" s="195" t="s">
        <v>30</v>
      </c>
      <c r="M773" s="195"/>
      <c r="N773" s="12"/>
      <c r="O773" s="12"/>
      <c r="P773" s="12"/>
      <c r="Q773" s="143" t="s">
        <v>173</v>
      </c>
      <c r="R773" s="12" t="s">
        <v>196</v>
      </c>
      <c r="S773" s="12">
        <v>21</v>
      </c>
      <c r="T773" s="12">
        <v>6</v>
      </c>
      <c r="U773" s="12">
        <v>3</v>
      </c>
      <c r="V773" s="12">
        <v>22</v>
      </c>
      <c r="W773" s="12">
        <v>13</v>
      </c>
      <c r="X773" s="12">
        <v>20</v>
      </c>
      <c r="Y773" s="12">
        <v>24</v>
      </c>
      <c r="Z773" s="12">
        <v>25</v>
      </c>
      <c r="AA773" s="12">
        <v>26</v>
      </c>
    </row>
    <row r="774" spans="1:29" x14ac:dyDescent="0.25">
      <c r="A774" s="13"/>
      <c r="B774" s="103">
        <v>-1</v>
      </c>
      <c r="C774" s="99" t="s">
        <v>209</v>
      </c>
      <c r="D774" s="100" t="s">
        <v>210</v>
      </c>
      <c r="E774" s="130" t="s">
        <v>199</v>
      </c>
      <c r="F774" s="13" t="s">
        <v>141</v>
      </c>
      <c r="G774" s="13" t="s">
        <v>142</v>
      </c>
      <c r="H774" s="13" t="s">
        <v>143</v>
      </c>
      <c r="I774" s="12"/>
      <c r="J774" s="13" t="s">
        <v>144</v>
      </c>
      <c r="K774" s="13" t="s">
        <v>144</v>
      </c>
      <c r="L774" s="13" t="s">
        <v>232</v>
      </c>
      <c r="M774" s="13" t="s">
        <v>233</v>
      </c>
      <c r="N774" s="143" t="s">
        <v>138</v>
      </c>
      <c r="O774" s="13"/>
      <c r="P774" s="13"/>
      <c r="Q774" s="13"/>
      <c r="R774" s="13" t="s">
        <v>201</v>
      </c>
      <c r="S774" s="13" t="s">
        <v>106</v>
      </c>
      <c r="T774" s="13" t="s">
        <v>36</v>
      </c>
      <c r="U774" s="139" t="s">
        <v>38</v>
      </c>
      <c r="V774" s="13" t="s">
        <v>107</v>
      </c>
      <c r="W774" s="13" t="s">
        <v>108</v>
      </c>
      <c r="X774" s="13" t="s">
        <v>109</v>
      </c>
      <c r="Y774" s="139" t="s">
        <v>44</v>
      </c>
      <c r="Z774" s="139" t="s">
        <v>46</v>
      </c>
      <c r="AA774" s="139" t="s">
        <v>48</v>
      </c>
      <c r="AB774" s="66" t="s">
        <v>110</v>
      </c>
    </row>
    <row r="775" spans="1:29" ht="13" x14ac:dyDescent="0.3">
      <c r="B775" s="103">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ht="13" x14ac:dyDescent="0.3">
      <c r="A776" s="1" t="s">
        <v>148</v>
      </c>
      <c r="B776" s="103">
        <f>IF(AND('AES Indiana Bill Calc.'!$D$17="HL1",'AES Indiana Bill Calc.'!$D$18="Yes 100%",'AES Indiana Bill Calc.'!$D$20="No"),'AES Indiana Bill Calc.'!$D$19,-1)</f>
        <v>-1</v>
      </c>
      <c r="C776" s="103">
        <f>MAX(E776,$C$769)</f>
        <v>2000</v>
      </c>
      <c r="D776" s="103" t="b">
        <f>IF(AND('AES Indiana Bill Calc.'!$D$17="HL1",'AES Indiana Bill Calc.'!$D$18="Yes 100%",'AES Indiana Bill Calc.'!$D$20="No"),'AES Indiana Bill Calc.'!$D$22)</f>
        <v>0</v>
      </c>
      <c r="E776" s="103" t="b">
        <f>IF(AND('AES Indiana Bill Calc.'!$D$17="HL1",'AES Indiana Bill Calc.'!$D$18="Yes 100%",'AES Indiana Bill Calc.'!$D$20="No"),'AES Indiana Bill Calc.'!$D$21)</f>
        <v>0</v>
      </c>
      <c r="F776" s="36" t="s">
        <v>65</v>
      </c>
      <c r="G776" s="92"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0.01</v>
      </c>
      <c r="U776" s="17">
        <f t="shared" si="50"/>
        <v>0</v>
      </c>
      <c r="V776" s="17">
        <f t="shared" si="50"/>
        <v>-0.01</v>
      </c>
      <c r="W776" s="17">
        <f t="shared" si="50"/>
        <v>0</v>
      </c>
      <c r="X776" s="17">
        <f t="shared" si="50"/>
        <v>0</v>
      </c>
      <c r="Y776" s="17">
        <f t="shared" si="50"/>
        <v>0</v>
      </c>
      <c r="Z776" s="17">
        <f t="shared" si="50"/>
        <v>0</v>
      </c>
      <c r="AA776" s="17">
        <f t="shared" si="50"/>
        <v>0</v>
      </c>
      <c r="AB776" s="19">
        <f>SUM(U771:AA771)</f>
        <v>7.894E-3</v>
      </c>
      <c r="AC776" s="67" t="str">
        <f>+F776</f>
        <v>HL1</v>
      </c>
    </row>
    <row r="777" spans="1:29" ht="13" x14ac:dyDescent="0.3">
      <c r="A777" s="9"/>
      <c r="B777" s="103">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ht="13" x14ac:dyDescent="0.3">
      <c r="A778" s="1" t="s">
        <v>149</v>
      </c>
      <c r="B778" s="103">
        <f>IF(AND('AES Indiana Bill Calc.'!$D$17="HL1",'AES Indiana Bill Calc.'!$D$18="Yes 50%",'AES Indiana Bill Calc.'!$D$20="No"),'AES Indiana Bill Calc.'!$D$19,-1)</f>
        <v>-1</v>
      </c>
      <c r="C778" s="103">
        <f>MAX(E778,$C$769)</f>
        <v>2000</v>
      </c>
      <c r="D778" s="103" t="b">
        <f>IF(AND('AES Indiana Bill Calc.'!$D$17="HL1",'AES Indiana Bill Calc.'!$D$18="Yes 50%",'AES Indiana Bill Calc.'!$D$20="No"),'AES Indiana Bill Calc.'!$D$22)</f>
        <v>0</v>
      </c>
      <c r="E778" s="103" t="b">
        <f>IF(AND('AES Indiana Bill Calc.'!$D$17="HL1",'AES Indiana Bill Calc.'!$D$18="Yes 50%",'AES Indiana Bill Calc.'!$D$20="No"),'AES Indiana Bill Calc.'!$D$21)</f>
        <v>0</v>
      </c>
      <c r="F778" s="36" t="s">
        <v>65</v>
      </c>
      <c r="G778" s="92"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0.01</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ht="13" x14ac:dyDescent="0.3">
      <c r="A779" s="9"/>
      <c r="B779" s="103">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ht="13" x14ac:dyDescent="0.3">
      <c r="A780" s="1" t="s">
        <v>150</v>
      </c>
      <c r="B780" s="103">
        <f>IF(AND('AES Indiana Bill Calc.'!$D$17="HL1",'AES Indiana Bill Calc.'!$D$18="Yes 25%",'AES Indiana Bill Calc.'!$D$20="No"),'AES Indiana Bill Calc.'!$D$19,-1)</f>
        <v>-1</v>
      </c>
      <c r="C780" s="103">
        <f>MAX(E780,$C$769)</f>
        <v>2000</v>
      </c>
      <c r="D780" s="103" t="b">
        <f>IF(AND('AES Indiana Bill Calc.'!$D$17="HL1",'AES Indiana Bill Calc.'!$D$18="Yes 25%",'AES Indiana Bill Calc.'!$D$20="No"),'AES Indiana Bill Calc.'!$D$22)</f>
        <v>0</v>
      </c>
      <c r="E780" s="103" t="b">
        <f>IF(AND('AES Indiana Bill Calc.'!$D$17="HL1",'AES Indiana Bill Calc.'!$D$18="Yes 25%",'AES Indiana Bill Calc.'!$D$20="No"),'AES Indiana Bill Calc.'!$D$21)</f>
        <v>0</v>
      </c>
      <c r="F780" s="36" t="s">
        <v>65</v>
      </c>
      <c r="G780" s="92"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0.01</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ht="13" x14ac:dyDescent="0.3">
      <c r="A781" s="9"/>
      <c r="B781" s="103">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ht="13" x14ac:dyDescent="0.3">
      <c r="A782" s="1" t="s">
        <v>164</v>
      </c>
      <c r="B782" s="103">
        <f>IF(AND('AES Indiana Bill Calc.'!$D$17="HL1",'AES Indiana Bill Calc.'!$D$18="Yes 10%",'AES Indiana Bill Calc.'!$D$20="No"),'AES Indiana Bill Calc.'!$D$19,-1)</f>
        <v>-1</v>
      </c>
      <c r="C782" s="103">
        <f>MAX(E782,$C$769)</f>
        <v>2000</v>
      </c>
      <c r="D782" s="103" t="b">
        <f>IF(AND('AES Indiana Bill Calc.'!$D$17="HL1",'AES Indiana Bill Calc.'!$D$18="Yes 10%",'AES Indiana Bill Calc.'!$D$20="No"),'AES Indiana Bill Calc.'!$D$22)</f>
        <v>0</v>
      </c>
      <c r="E782" s="103" t="b">
        <f>IF(AND('AES Indiana Bill Calc.'!$D$17="HL1",'AES Indiana Bill Calc.'!$D$18="Yes 10%",'AES Indiana Bill Calc.'!$D$20="No"),'AES Indiana Bill Calc.'!$D$21)</f>
        <v>0</v>
      </c>
      <c r="F782" s="36" t="s">
        <v>65</v>
      </c>
      <c r="G782" s="92"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0.01</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ht="13" x14ac:dyDescent="0.3">
      <c r="A783" s="9"/>
      <c r="B783" s="103">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ht="13" x14ac:dyDescent="0.3">
      <c r="A784" s="1" t="s">
        <v>147</v>
      </c>
      <c r="B784" s="103">
        <f>IF(AND('AES Indiana Bill Calc.'!$D$17="HL1",'AES Indiana Bill Calc.'!$D$18="No",'AES Indiana Bill Calc.'!$D$20="No"),'AES Indiana Bill Calc.'!$D$19,-1)</f>
        <v>-1</v>
      </c>
      <c r="C784" s="103">
        <f>MAX(E784,$C$769)</f>
        <v>2000</v>
      </c>
      <c r="D784" s="103" t="b">
        <f>IF(AND('AES Indiana Bill Calc.'!$D$17="HL1",'AES Indiana Bill Calc.'!$D$18="No",'AES Indiana Bill Calc.'!$D$20="No"),'AES Indiana Bill Calc.'!$D$22)</f>
        <v>0</v>
      </c>
      <c r="E784" s="103" t="b">
        <f>IF(AND('AES Indiana Bill Calc.'!$D$17="HL1",'AES Indiana Bill Calc.'!$D$18="No",'AES Indiana Bill Calc.'!$D$20="No"),'AES Indiana Bill Calc.'!$D$21)</f>
        <v>0</v>
      </c>
      <c r="F784" s="36" t="s">
        <v>65</v>
      </c>
      <c r="G784" s="92"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0.01</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ht="13" x14ac:dyDescent="0.3">
      <c r="B785" s="103">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ht="13" x14ac:dyDescent="0.3">
      <c r="A786" s="1" t="s">
        <v>148</v>
      </c>
      <c r="B786" s="103">
        <f>IF(AND('AES Indiana Bill Calc.'!$D$17="HL1",'AES Indiana Bill Calc.'!$D$18="Yes 100%",'AES Indiana Bill Calc.'!$D$20="Yes Before 2018"),'AES Indiana Bill Calc.'!$D$19,-1)</f>
        <v>-1</v>
      </c>
      <c r="C786" s="103">
        <f>MAX(E786,$C$769)</f>
        <v>2000</v>
      </c>
      <c r="D786" s="103" t="b">
        <f>IF(AND('AES Indiana Bill Calc.'!$D$17="HL1",'AES Indiana Bill Calc.'!$D$18="Yes 100%",'AES Indiana Bill Calc.'!$D$20="Yes Before 2018"),'AES Indiana Bill Calc.'!$D$22)</f>
        <v>0</v>
      </c>
      <c r="E786" s="103" t="b">
        <f>IF(AND('AES Indiana Bill Calc.'!$D$17="HL1",'AES Indiana Bill Calc.'!$D$18="Yes 100%",'AES Indiana Bill Calc.'!$D$20="Yes Before 2018"),'AES Indiana Bill Calc.'!$D$21)</f>
        <v>0</v>
      </c>
      <c r="F786" s="36" t="s">
        <v>234</v>
      </c>
      <c r="G786" s="92" t="e">
        <f>SUM(J786:M786,R786:AA786)</f>
        <v>#N/A</v>
      </c>
      <c r="H786" s="19" t="e">
        <f>IF(ISBLANK(B786),0,+#REF!/B786)</f>
        <v>#REF!</v>
      </c>
      <c r="J786" s="88">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4" t="e">
        <f>ROUND(SUM(K786:M786)*(R785-1),2)</f>
        <v>#N/A</v>
      </c>
      <c r="S786" s="42">
        <f>ROUND($B786*S$771*S785,2)</f>
        <v>0</v>
      </c>
      <c r="T786" s="42">
        <f>ROUND($B786*T$771,2)</f>
        <v>0.01</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2.3699999999999997E-3</v>
      </c>
      <c r="AC786" s="94" t="str">
        <f>+F786</f>
        <v>HL17</v>
      </c>
    </row>
    <row r="787" spans="1:29" ht="13" x14ac:dyDescent="0.3">
      <c r="A787" s="9"/>
      <c r="B787" s="103">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ht="13" x14ac:dyDescent="0.3">
      <c r="A788" s="1" t="s">
        <v>149</v>
      </c>
      <c r="B788" s="103">
        <f>IF(AND('AES Indiana Bill Calc.'!$D$17="HL1",'AES Indiana Bill Calc.'!$D$18="Yes 50%",'AES Indiana Bill Calc.'!$D$20="Yes Before 2018"),'AES Indiana Bill Calc.'!$D$19,-1)</f>
        <v>-1</v>
      </c>
      <c r="C788" s="103">
        <f>MAX(E788,$C$769)</f>
        <v>2000</v>
      </c>
      <c r="D788" s="103" t="b">
        <f>IF(AND('AES Indiana Bill Calc.'!$D$17="HL1",'AES Indiana Bill Calc.'!$D$18="Yes 50%",'AES Indiana Bill Calc.'!$D$20="Yes Before 2018"),'AES Indiana Bill Calc.'!$D$22)</f>
        <v>0</v>
      </c>
      <c r="E788" s="103" t="b">
        <f>IF(AND('AES Indiana Bill Calc.'!$D$17="HL1",'AES Indiana Bill Calc.'!$D$18="Yes 50%",'AES Indiana Bill Calc.'!$D$20="Yes Before 2018"),'AES Indiana Bill Calc.'!$D$21)</f>
        <v>0</v>
      </c>
      <c r="F788" s="36" t="s">
        <v>234</v>
      </c>
      <c r="G788" s="92" t="e">
        <f>SUM(J788:M788,R788:AA788)</f>
        <v>#N/A</v>
      </c>
      <c r="H788" s="19" t="e">
        <f>IF(ISBLANK(B788),0,+#REF!/B788)</f>
        <v>#REF!</v>
      </c>
      <c r="J788" s="88">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4" t="e">
        <f>ROUND(SUM(K788:M788)*(R787-1),2)</f>
        <v>#N/A</v>
      </c>
      <c r="S788" s="42">
        <f>ROUND($B788*S$771*S787,2)</f>
        <v>0</v>
      </c>
      <c r="T788" s="42">
        <f>ROUND($B788*T$771,2)</f>
        <v>0.01</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2.4849999999999994E-3</v>
      </c>
      <c r="AC788" s="94" t="str">
        <f>+F788</f>
        <v>HL17</v>
      </c>
    </row>
    <row r="789" spans="1:29" ht="13" x14ac:dyDescent="0.3">
      <c r="A789" s="9"/>
      <c r="B789" s="103">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ht="13" x14ac:dyDescent="0.3">
      <c r="A790" s="1" t="s">
        <v>150</v>
      </c>
      <c r="B790" s="103">
        <f>IF(AND('AES Indiana Bill Calc.'!$D$17="HL1",'AES Indiana Bill Calc.'!$D$18="Yes 25%",'AES Indiana Bill Calc.'!$D$20="Yes Before 2018"),'AES Indiana Bill Calc.'!$D$19,-1)</f>
        <v>-1</v>
      </c>
      <c r="C790" s="103">
        <f>MAX(E790,$C$769)</f>
        <v>2000</v>
      </c>
      <c r="D790" s="103" t="b">
        <f>IF(AND('AES Indiana Bill Calc.'!$D$17="HL1",'AES Indiana Bill Calc.'!$D$18="Yes 25%",'AES Indiana Bill Calc.'!$D$20="Yes Before 2018"),'AES Indiana Bill Calc.'!$D$22)</f>
        <v>0</v>
      </c>
      <c r="E790" s="103" t="b">
        <f>IF(AND('AES Indiana Bill Calc.'!$D$17="HL1",'AES Indiana Bill Calc.'!$D$18="Yes 25%",'AES Indiana Bill Calc.'!$D$20="Yes Before 2018"),'AES Indiana Bill Calc.'!$D$21)</f>
        <v>0</v>
      </c>
      <c r="F790" s="36" t="s">
        <v>234</v>
      </c>
      <c r="G790" s="92" t="e">
        <f>SUM(J790:M790,R790:AA790)</f>
        <v>#N/A</v>
      </c>
      <c r="H790" s="19" t="e">
        <f>IF(ISBLANK(B790),0,+#REF!/B790)</f>
        <v>#REF!</v>
      </c>
      <c r="J790" s="88">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4" t="e">
        <f>ROUND(SUM(K790:M790)*(R789-1),2)</f>
        <v>#N/A</v>
      </c>
      <c r="S790" s="42">
        <f>ROUND($B790*S$771*S789,2)</f>
        <v>0</v>
      </c>
      <c r="T790" s="42">
        <f>ROUND($B790*T$771,2)</f>
        <v>0.01</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1.5569999999999994E-3</v>
      </c>
      <c r="AC790" s="94" t="str">
        <f>+F790</f>
        <v>HL17</v>
      </c>
    </row>
    <row r="791" spans="1:29" ht="13" x14ac:dyDescent="0.3">
      <c r="A791" s="9"/>
      <c r="B791" s="103">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ht="13" x14ac:dyDescent="0.3">
      <c r="A792" s="1" t="s">
        <v>164</v>
      </c>
      <c r="B792" s="103">
        <f>IF(AND('AES Indiana Bill Calc.'!$D$17="HL1",'AES Indiana Bill Calc.'!$D$18="Yes 10%",'AES Indiana Bill Calc.'!$D$20="Yes Before 2018"),'AES Indiana Bill Calc.'!$D$19,-1)</f>
        <v>-1</v>
      </c>
      <c r="C792" s="103">
        <f>MAX(E792,$C$769)</f>
        <v>2000</v>
      </c>
      <c r="D792" s="103" t="b">
        <f>IF(AND('AES Indiana Bill Calc.'!$D$17="HL1",'AES Indiana Bill Calc.'!$D$18="Yes 10%",'AES Indiana Bill Calc.'!$D$20="Yes Before 2018"),'AES Indiana Bill Calc.'!$D$22)</f>
        <v>0</v>
      </c>
      <c r="E792" s="103" t="b">
        <f>IF(AND('AES Indiana Bill Calc.'!$D$17="HL1",'AES Indiana Bill Calc.'!$D$18="Yes 10%",'AES Indiana Bill Calc.'!$D$20="Yes Before 2018"),'AES Indiana Bill Calc.'!$D$21)</f>
        <v>0</v>
      </c>
      <c r="F792" s="36" t="s">
        <v>234</v>
      </c>
      <c r="G792" s="92" t="e">
        <f>SUM(J792:M792,R792:AA792)</f>
        <v>#N/A</v>
      </c>
      <c r="H792" s="19" t="e">
        <f>IF(ISBLANK(B792),0,+#REF!/B792)</f>
        <v>#REF!</v>
      </c>
      <c r="J792" s="88">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4" t="e">
        <f>ROUND(SUM(K792:M792)*(R791-1),2)</f>
        <v>#N/A</v>
      </c>
      <c r="S792" s="42">
        <f>ROUND($B792*S$771*S791,2)</f>
        <v>0</v>
      </c>
      <c r="T792" s="42">
        <f>ROUND($B792*T$771,2)</f>
        <v>0.01</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7.894E-3</v>
      </c>
      <c r="AC792" s="94" t="str">
        <f>+F792</f>
        <v>HL17</v>
      </c>
    </row>
    <row r="793" spans="1:29" ht="13" x14ac:dyDescent="0.3">
      <c r="A793" s="9"/>
      <c r="B793" s="103">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ht="13" x14ac:dyDescent="0.3">
      <c r="A794" s="1" t="s">
        <v>147</v>
      </c>
      <c r="B794" s="103">
        <f>IF(AND('AES Indiana Bill Calc.'!$D$17="HL1",'AES Indiana Bill Calc.'!$D$18="No",'AES Indiana Bill Calc.'!$D$20="Yes Before 2018"),'AES Indiana Bill Calc.'!$D$19,-1)</f>
        <v>-1</v>
      </c>
      <c r="C794" s="103">
        <f>MAX(E794,$C$769)</f>
        <v>2000</v>
      </c>
      <c r="D794" s="103" t="b">
        <f>IF(AND('AES Indiana Bill Calc.'!$D$17="HL1",'AES Indiana Bill Calc.'!$D$18="No",'AES Indiana Bill Calc.'!$D$20="Yes Before 2018"),'AES Indiana Bill Calc.'!$D$22)</f>
        <v>0</v>
      </c>
      <c r="E794" s="103" t="b">
        <f>IF(AND('AES Indiana Bill Calc.'!$D$17="HL1",'AES Indiana Bill Calc.'!$D$18="No",'AES Indiana Bill Calc.'!$D$20="Yes Before 2018"),'AES Indiana Bill Calc.'!$D$21)</f>
        <v>0</v>
      </c>
      <c r="F794" s="36" t="s">
        <v>234</v>
      </c>
      <c r="G794" s="92" t="e">
        <f>SUM(J794:M794,R794:AA794)</f>
        <v>#N/A</v>
      </c>
      <c r="H794" s="19" t="e">
        <f>IF(ISBLANK(B794),0,+#REF!/B794)</f>
        <v>#REF!</v>
      </c>
      <c r="J794" s="88">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4" t="e">
        <f>ROUND(SUM(K794:M794)*(R793-1),2)</f>
        <v>#N/A</v>
      </c>
      <c r="S794" s="42">
        <f>ROUND($B794*S$771*S793,2)</f>
        <v>0</v>
      </c>
      <c r="T794" s="42">
        <f>ROUND($B794*T$771,2)</f>
        <v>0.01</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22.002369999999999</v>
      </c>
      <c r="AC794" s="94" t="str">
        <f>+F794</f>
        <v>HL17</v>
      </c>
    </row>
    <row r="795" spans="1:29" ht="13" x14ac:dyDescent="0.3">
      <c r="B795" s="103">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ht="13" x14ac:dyDescent="0.3">
      <c r="A796" s="1" t="s">
        <v>148</v>
      </c>
      <c r="B796" s="103">
        <f>IF(AND('AES Indiana Bill Calc.'!$D$17="HL1",'AES Indiana Bill Calc.'!$D$18="Yes 100%",'AES Indiana Bill Calc.'!$D$20="Yes 2018"),'AES Indiana Bill Calc.'!$D$19,-1)</f>
        <v>-1</v>
      </c>
      <c r="C796" s="103">
        <f>MAX(E796,$C$769)</f>
        <v>2000</v>
      </c>
      <c r="D796" s="103" t="b">
        <f>IF(AND('AES Indiana Bill Calc.'!$D$17="HL1",'AES Indiana Bill Calc.'!$D$18="Yes 100%",'AES Indiana Bill Calc.'!$D$20="Yes 2018"),'AES Indiana Bill Calc.'!$D$22)</f>
        <v>0</v>
      </c>
      <c r="E796" s="103" t="b">
        <f>IF(AND('AES Indiana Bill Calc.'!$D$17="HL1",'AES Indiana Bill Calc.'!$D$18="Yes 100%",'AES Indiana Bill Calc.'!$D$20="Yes 2018"),'AES Indiana Bill Calc.'!$D$21)</f>
        <v>0</v>
      </c>
      <c r="F796" s="36" t="s">
        <v>235</v>
      </c>
      <c r="G796" s="92" t="e">
        <f>SUM(J796:M796,R796:AA796)</f>
        <v>#N/A</v>
      </c>
      <c r="H796" s="19" t="e">
        <f>IF(ISBLANK(B796),0,+#REF!/B796)</f>
        <v>#REF!</v>
      </c>
      <c r="I796" s="19"/>
      <c r="J796" s="88">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2" t="e">
        <f>ROUND(SUM(K796:M796)*(R795-1),2)</f>
        <v>#N/A</v>
      </c>
      <c r="S796" s="42">
        <f>ROUND($B796*S$771*S795,2)</f>
        <v>0</v>
      </c>
      <c r="T796" s="42">
        <f>ROUND($B796*T$771,2)</f>
        <v>0.01</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4" t="str">
        <f>+F796</f>
        <v>HL18</v>
      </c>
    </row>
    <row r="797" spans="1:29" ht="13" x14ac:dyDescent="0.3">
      <c r="A797" s="9"/>
      <c r="B797" s="103">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ht="13" x14ac:dyDescent="0.3">
      <c r="A798" s="1" t="s">
        <v>149</v>
      </c>
      <c r="B798" s="103">
        <f>IF(AND('AES Indiana Bill Calc.'!$D$17="HL1",'AES Indiana Bill Calc.'!$D$18="Yes 50%",'AES Indiana Bill Calc.'!$D$20="Yes 2018"),'AES Indiana Bill Calc.'!$D$19,-1)</f>
        <v>-1</v>
      </c>
      <c r="C798" s="103">
        <f>MAX(E798,$C$769)</f>
        <v>2000</v>
      </c>
      <c r="D798" s="103" t="b">
        <f>IF(AND('AES Indiana Bill Calc.'!$D$17="HL1",'AES Indiana Bill Calc.'!$D$18="Yes 50%",'AES Indiana Bill Calc.'!$D$20="Yes 2018"),'AES Indiana Bill Calc.'!$D$22)</f>
        <v>0</v>
      </c>
      <c r="E798" s="103" t="b">
        <f>IF(AND('AES Indiana Bill Calc.'!$D$17="HL1",'AES Indiana Bill Calc.'!$D$18="Yes 50%",'AES Indiana Bill Calc.'!$D$20="Yes 2018"),'AES Indiana Bill Calc.'!$D$21)</f>
        <v>0</v>
      </c>
      <c r="F798" s="36" t="s">
        <v>235</v>
      </c>
      <c r="G798" s="92" t="e">
        <f>SUM(J798:M798,R798:AA798)</f>
        <v>#N/A</v>
      </c>
      <c r="H798" s="19" t="e">
        <f>IF(ISBLANK(B798),0,+#REF!/B798)</f>
        <v>#REF!</v>
      </c>
      <c r="I798" s="19"/>
      <c r="J798" s="88">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2" t="e">
        <f>ROUND(SUM(K798:M798)*(R797-1),2)</f>
        <v>#N/A</v>
      </c>
      <c r="S798" s="42">
        <f>ROUND($B798*S$771*S797,2)</f>
        <v>0</v>
      </c>
      <c r="T798" s="42">
        <f>ROUND($B798*T$771,2)</f>
        <v>0.01</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4" t="str">
        <f>+F798</f>
        <v>HL18</v>
      </c>
    </row>
    <row r="799" spans="1:29" ht="13" x14ac:dyDescent="0.3">
      <c r="A799" s="9"/>
      <c r="B799" s="103">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ht="13" x14ac:dyDescent="0.3">
      <c r="A800" s="1" t="s">
        <v>150</v>
      </c>
      <c r="B800" s="103">
        <f>IF(AND('AES Indiana Bill Calc.'!$D$17="HL1",'AES Indiana Bill Calc.'!$D$18="Yes 25%",'AES Indiana Bill Calc.'!$D$20="Yes 2018"),'AES Indiana Bill Calc.'!$D$19,-1)</f>
        <v>-1</v>
      </c>
      <c r="C800" s="103">
        <f>MAX(E800,$C$769)</f>
        <v>2000</v>
      </c>
      <c r="D800" s="103" t="b">
        <f>IF(AND('AES Indiana Bill Calc.'!$D$17="HL1",'AES Indiana Bill Calc.'!$D$18="Yes 25%",'AES Indiana Bill Calc.'!$D$20="Yes 2018"),'AES Indiana Bill Calc.'!$D$22)</f>
        <v>0</v>
      </c>
      <c r="E800" s="103" t="b">
        <f>IF(AND('AES Indiana Bill Calc.'!$D$17="HL1",'AES Indiana Bill Calc.'!$D$18="Yes 25%",'AES Indiana Bill Calc.'!$D$20="Yes 2018"),'AES Indiana Bill Calc.'!$D$21)</f>
        <v>0</v>
      </c>
      <c r="F800" s="36" t="s">
        <v>235</v>
      </c>
      <c r="G800" s="92" t="e">
        <f>SUM(J800:M800,R800:AA800)</f>
        <v>#N/A</v>
      </c>
      <c r="H800" s="19" t="e">
        <f>IF(ISBLANK(B800),0,+#REF!/B800)</f>
        <v>#REF!</v>
      </c>
      <c r="I800" s="19"/>
      <c r="J800" s="88">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2" t="e">
        <f>ROUND(SUM(K800:M800)*(R799-1),2)</f>
        <v>#N/A</v>
      </c>
      <c r="S800" s="42">
        <f>ROUND($B800*S$771*S799,2)</f>
        <v>0</v>
      </c>
      <c r="T800" s="42">
        <f>ROUND($B800*T$771,2)</f>
        <v>0.01</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4" t="str">
        <f>+F800</f>
        <v>HL18</v>
      </c>
    </row>
    <row r="801" spans="1:238" ht="13" x14ac:dyDescent="0.3">
      <c r="A801" s="9"/>
      <c r="B801" s="103">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ht="13" x14ac:dyDescent="0.3">
      <c r="A802" s="1" t="s">
        <v>164</v>
      </c>
      <c r="B802" s="103">
        <f>IF(AND('AES Indiana Bill Calc.'!$D$17="HL1",'AES Indiana Bill Calc.'!$D$18="Yes 10%",'AES Indiana Bill Calc.'!$D$20="Yes 2018"),'AES Indiana Bill Calc.'!$D$19,-1)</f>
        <v>-1</v>
      </c>
      <c r="C802" s="103">
        <f>MAX(E802,$C$769)</f>
        <v>2000</v>
      </c>
      <c r="D802" s="103" t="b">
        <f>IF(AND('AES Indiana Bill Calc.'!$D$17="HL1",'AES Indiana Bill Calc.'!$D$18="Yes 10%",'AES Indiana Bill Calc.'!$D$20="Yes 2018"),'AES Indiana Bill Calc.'!$D$22)</f>
        <v>0</v>
      </c>
      <c r="E802" s="103" t="b">
        <f>IF(AND('AES Indiana Bill Calc.'!$D$17="HL1",'AES Indiana Bill Calc.'!$D$18="Yes 10%",'AES Indiana Bill Calc.'!$D$20="Yes 2018"),'AES Indiana Bill Calc.'!$D$21)</f>
        <v>0</v>
      </c>
      <c r="F802" s="36" t="s">
        <v>235</v>
      </c>
      <c r="G802" s="92" t="e">
        <f>SUM(J802:M802,R802:AA802)</f>
        <v>#N/A</v>
      </c>
      <c r="H802" s="19" t="e">
        <f>IF(ISBLANK(B802),0,+#REF!/B802)</f>
        <v>#REF!</v>
      </c>
      <c r="I802" s="19"/>
      <c r="J802" s="88">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2" t="e">
        <f>ROUND(SUM(K802:M802)*(R801-1),2)</f>
        <v>#N/A</v>
      </c>
      <c r="S802" s="42">
        <f>ROUND($B802*S$771*S801,2)</f>
        <v>0</v>
      </c>
      <c r="T802" s="42">
        <f>ROUND($B802*T$771,2)</f>
        <v>0.01</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4" t="str">
        <f>+F802</f>
        <v>HL18</v>
      </c>
    </row>
    <row r="803" spans="1:238" ht="13" x14ac:dyDescent="0.3">
      <c r="A803" s="9"/>
      <c r="B803" s="103">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ht="13" x14ac:dyDescent="0.3">
      <c r="A804" s="1" t="s">
        <v>147</v>
      </c>
      <c r="B804" s="103">
        <f>IF(AND('AES Indiana Bill Calc.'!$D$17="HL1",'AES Indiana Bill Calc.'!$D$18="No",'AES Indiana Bill Calc.'!$D$20="Yes 2018"),'AES Indiana Bill Calc.'!$D$19,-1)</f>
        <v>-1</v>
      </c>
      <c r="C804" s="103">
        <f>MAX(E804,$C$769)</f>
        <v>2000</v>
      </c>
      <c r="D804" s="103" t="b">
        <f>IF(AND('AES Indiana Bill Calc.'!$D$17="HL1",'AES Indiana Bill Calc.'!$D$18="No",'AES Indiana Bill Calc.'!$D$20="Yes 2018"),'AES Indiana Bill Calc.'!$D$22)</f>
        <v>0</v>
      </c>
      <c r="E804" s="103" t="b">
        <f>IF(AND('AES Indiana Bill Calc.'!$D$17="HL1",'AES Indiana Bill Calc.'!$D$18="No",'AES Indiana Bill Calc.'!$D$20="Yes 2018"),'AES Indiana Bill Calc.'!$D$21)</f>
        <v>0</v>
      </c>
      <c r="F804" s="36" t="s">
        <v>235</v>
      </c>
      <c r="G804" s="92" t="e">
        <f>SUM(J804:M804,R804:AA804)</f>
        <v>#N/A</v>
      </c>
      <c r="H804" s="19" t="e">
        <f>IF(ISBLANK(B804),0,+#REF!/B804)</f>
        <v>#REF!</v>
      </c>
      <c r="I804" s="19"/>
      <c r="J804" s="88">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2" t="e">
        <f>ROUND(SUM(K804:M804)*(R803-1),2)</f>
        <v>#N/A</v>
      </c>
      <c r="S804" s="42">
        <f>ROUND($B804*S$771*S803,2)</f>
        <v>0</v>
      </c>
      <c r="T804" s="42">
        <f>ROUND($B804*T$771,2)</f>
        <v>0.01</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4" t="str">
        <f>+F804</f>
        <v>HL18</v>
      </c>
    </row>
    <row r="805" spans="1:238" ht="13" x14ac:dyDescent="0.3">
      <c r="B805" s="103">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35">
      <c r="A806" s="1" t="s">
        <v>148</v>
      </c>
      <c r="B806" s="103">
        <f>IF(AND('AES Indiana Bill Calc.'!$D$17="HL1",'AES Indiana Bill Calc.'!$D$18="Yes 100%",'AES Indiana Bill Calc.'!$D$20="Yes 2019"),'AES Indiana Bill Calc.'!$D$19,-1)</f>
        <v>-1</v>
      </c>
      <c r="C806" s="103">
        <f>MAX(E806,$C$769)</f>
        <v>2000</v>
      </c>
      <c r="D806" s="103" t="b">
        <f>IF(AND('AES Indiana Bill Calc.'!$D$17="HL1",'AES Indiana Bill Calc.'!$D$18="Yes 100%",'AES Indiana Bill Calc.'!$D$20="Yes 2019"),'AES Indiana Bill Calc.'!$D$22)</f>
        <v>0</v>
      </c>
      <c r="E806" s="103" t="b">
        <f>IF(AND('AES Indiana Bill Calc.'!$D$17="HL1",'AES Indiana Bill Calc.'!$D$18="Yes 100%",'AES Indiana Bill Calc.'!$D$20="Yes 2019"),'AES Indiana Bill Calc.'!$D$21)</f>
        <v>0</v>
      </c>
      <c r="F806" s="36" t="s">
        <v>236</v>
      </c>
      <c r="G806" s="92" t="e">
        <f>SUM(J806:M806,R806:AA806)</f>
        <v>#N/A</v>
      </c>
      <c r="H806" s="19" t="e">
        <f>IF(ISBLANK(B806),0,+#REF!/B806)</f>
        <v>#REF!</v>
      </c>
      <c r="I806" s="19"/>
      <c r="J806" s="88">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2" t="e">
        <f>ROUND(SUM(K806:M806)*(R805-1),2)</f>
        <v>#N/A</v>
      </c>
      <c r="S806" s="42">
        <f>ROUND($B806*S$771*S805,2)</f>
        <v>0</v>
      </c>
      <c r="T806" s="42">
        <f>ROUND($B806*T$771,2)</f>
        <v>0.01</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4"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ht="13" x14ac:dyDescent="0.3">
      <c r="A807" s="9"/>
      <c r="B807" s="103">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ht="13" x14ac:dyDescent="0.3">
      <c r="A808" s="1" t="s">
        <v>149</v>
      </c>
      <c r="B808" s="103">
        <f>IF(AND('AES Indiana Bill Calc.'!$D$17="HL1",'AES Indiana Bill Calc.'!$D$18="Yes 50%",'AES Indiana Bill Calc.'!$D$20="Yes 2019"),'AES Indiana Bill Calc.'!$D$19,-1)</f>
        <v>-1</v>
      </c>
      <c r="C808" s="103">
        <f>MAX(E808,$C$769)</f>
        <v>2000</v>
      </c>
      <c r="D808" s="103" t="b">
        <f>IF(AND('AES Indiana Bill Calc.'!$D$17="HL1",'AES Indiana Bill Calc.'!$D$18="Yes 50%",'AES Indiana Bill Calc.'!$D$20="Yes 2019"),'AES Indiana Bill Calc.'!$D$22)</f>
        <v>0</v>
      </c>
      <c r="E808" s="103" t="b">
        <f>IF(AND('AES Indiana Bill Calc.'!$D$17="HL1",'AES Indiana Bill Calc.'!$D$18="Yes 50%",'AES Indiana Bill Calc.'!$D$20="Yes 2019"),'AES Indiana Bill Calc.'!$D$21)</f>
        <v>0</v>
      </c>
      <c r="F808" s="36" t="s">
        <v>236</v>
      </c>
      <c r="G808" s="92" t="e">
        <f>SUM(J808:M808,R808:AA808)</f>
        <v>#N/A</v>
      </c>
      <c r="H808" s="19" t="e">
        <f>IF(ISBLANK(B808),0,+#REF!/B808)</f>
        <v>#REF!</v>
      </c>
      <c r="I808" s="19"/>
      <c r="J808" s="88">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2" t="e">
        <f>ROUND(SUM(K808:M808)*(R807-1),2)</f>
        <v>#N/A</v>
      </c>
      <c r="S808" s="42">
        <f>ROUND($B808*S$771*S807,2)</f>
        <v>0</v>
      </c>
      <c r="T808" s="42">
        <f>ROUND($B808*T$771,2)</f>
        <v>0.01</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4" t="str">
        <f>+F808</f>
        <v>HL19</v>
      </c>
    </row>
    <row r="809" spans="1:238" ht="13" x14ac:dyDescent="0.3">
      <c r="A809" s="9"/>
      <c r="B809" s="103">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ht="13" x14ac:dyDescent="0.3">
      <c r="A810" s="1" t="s">
        <v>150</v>
      </c>
      <c r="B810" s="103">
        <f>IF(AND('AES Indiana Bill Calc.'!$D$17="HL1",'AES Indiana Bill Calc.'!$D$18="Yes 25%",'AES Indiana Bill Calc.'!$D$20="Yes 2019"),'AES Indiana Bill Calc.'!$D$19,-1)</f>
        <v>-1</v>
      </c>
      <c r="C810" s="103">
        <f>MAX(E810,$C$769)</f>
        <v>2000</v>
      </c>
      <c r="D810" s="103" t="b">
        <f>IF(AND('AES Indiana Bill Calc.'!$D$17="HL1",'AES Indiana Bill Calc.'!$D$18="Yes 25%",'AES Indiana Bill Calc.'!$D$20="Yes 2019"),'AES Indiana Bill Calc.'!$D$22)</f>
        <v>0</v>
      </c>
      <c r="E810" s="103" t="b">
        <f>IF(AND('AES Indiana Bill Calc.'!$D$17="HL1",'AES Indiana Bill Calc.'!$D$18="Yes 25%",'AES Indiana Bill Calc.'!$D$20="Yes 2019"),'AES Indiana Bill Calc.'!$D$21)</f>
        <v>0</v>
      </c>
      <c r="F810" s="36" t="s">
        <v>236</v>
      </c>
      <c r="G810" s="92" t="e">
        <f>SUM(J810:M810,R810:AA810)</f>
        <v>#N/A</v>
      </c>
      <c r="H810" s="19" t="e">
        <f>IF(ISBLANK(B810),0,+#REF!/B810)</f>
        <v>#REF!</v>
      </c>
      <c r="I810" s="19"/>
      <c r="J810" s="88">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2" t="e">
        <f>ROUND(SUM(K810:M810)*(R809-1),2)</f>
        <v>#N/A</v>
      </c>
      <c r="S810" s="42">
        <f>ROUND($B810*S$771*S809,2)</f>
        <v>0</v>
      </c>
      <c r="T810" s="42">
        <f>ROUND($B810*T$771,2)</f>
        <v>0.01</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4" t="str">
        <f>+F810</f>
        <v>HL19</v>
      </c>
    </row>
    <row r="811" spans="1:238" ht="13" x14ac:dyDescent="0.3">
      <c r="A811" s="9"/>
      <c r="B811" s="103">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ht="13" x14ac:dyDescent="0.3">
      <c r="A812" s="1" t="s">
        <v>164</v>
      </c>
      <c r="B812" s="103">
        <f>IF(AND('AES Indiana Bill Calc.'!$D$17="HL1",'AES Indiana Bill Calc.'!$D$18="Yes 10%",'AES Indiana Bill Calc.'!$D$20="Yes 2019"),'AES Indiana Bill Calc.'!$D$19,-1)</f>
        <v>-1</v>
      </c>
      <c r="C812" s="103">
        <f>MAX(E812,$C$769)</f>
        <v>2000</v>
      </c>
      <c r="D812" s="103" t="b">
        <f>IF(AND('AES Indiana Bill Calc.'!$D$17="HL1",'AES Indiana Bill Calc.'!$D$18="Yes 10%",'AES Indiana Bill Calc.'!$D$20="Yes 2019"),'AES Indiana Bill Calc.'!$D$22)</f>
        <v>0</v>
      </c>
      <c r="E812" s="103" t="b">
        <f>IF(AND('AES Indiana Bill Calc.'!$D$17="HL1",'AES Indiana Bill Calc.'!$D$18="Yes 10%",'AES Indiana Bill Calc.'!$D$20="Yes 2019"),'AES Indiana Bill Calc.'!$D$21)</f>
        <v>0</v>
      </c>
      <c r="F812" s="36" t="s">
        <v>236</v>
      </c>
      <c r="G812" s="92" t="e">
        <f>SUM(J812:M812,R812:AA812)</f>
        <v>#N/A</v>
      </c>
      <c r="H812" s="19" t="e">
        <f>IF(ISBLANK(B812),0,+#REF!/B812)</f>
        <v>#REF!</v>
      </c>
      <c r="I812" s="19"/>
      <c r="J812" s="88">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2" t="e">
        <f>ROUND(SUM(K812:M812)*(R811-1),2)</f>
        <v>#N/A</v>
      </c>
      <c r="S812" s="42">
        <f>ROUND($B812*S$771*S811,2)</f>
        <v>0</v>
      </c>
      <c r="T812" s="42">
        <f>ROUND($B812*T$771,2)</f>
        <v>0.01</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4" t="str">
        <f>+F812</f>
        <v>HL19</v>
      </c>
    </row>
    <row r="813" spans="1:238" ht="13" x14ac:dyDescent="0.3">
      <c r="A813" s="9"/>
      <c r="B813" s="103">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ht="13" x14ac:dyDescent="0.3">
      <c r="A814" s="1" t="s">
        <v>147</v>
      </c>
      <c r="B814" s="103">
        <f>IF(AND('AES Indiana Bill Calc.'!$D$17="HL1",'AES Indiana Bill Calc.'!$D$18="No",'AES Indiana Bill Calc.'!$D$20="Yes 2019"),'AES Indiana Bill Calc.'!$D$19,-1)</f>
        <v>-1</v>
      </c>
      <c r="C814" s="103">
        <f>MAX(E814,$C$769)</f>
        <v>2000</v>
      </c>
      <c r="D814" s="103" t="b">
        <f>IF(AND('AES Indiana Bill Calc.'!$D$17="HL1",'AES Indiana Bill Calc.'!$D$18="No",'AES Indiana Bill Calc.'!$D$20="Yes 2019"),'AES Indiana Bill Calc.'!$D$22)</f>
        <v>0</v>
      </c>
      <c r="E814" s="103" t="b">
        <f>IF(AND('AES Indiana Bill Calc.'!$D$17="HL1",'AES Indiana Bill Calc.'!$D$18="No",'AES Indiana Bill Calc.'!$D$20="Yes 2019"),'AES Indiana Bill Calc.'!$D$21)</f>
        <v>0</v>
      </c>
      <c r="F814" s="36" t="s">
        <v>236</v>
      </c>
      <c r="G814" s="92" t="e">
        <f>SUM(J814:M814,R814:AA814)</f>
        <v>#N/A</v>
      </c>
      <c r="H814" s="19" t="e">
        <f>IF(ISBLANK(B814),0,+#REF!/B814)</f>
        <v>#REF!</v>
      </c>
      <c r="I814" s="19"/>
      <c r="J814" s="88">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2" t="e">
        <f>ROUND(SUM(K814:M814)*(R813-1),2)</f>
        <v>#N/A</v>
      </c>
      <c r="S814" s="42">
        <f>ROUND($B814*S$771*S813,2)</f>
        <v>0</v>
      </c>
      <c r="T814" s="42">
        <f>ROUND($B814*T$771,2)</f>
        <v>0.01</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4" t="str">
        <f>+F814</f>
        <v>HL19</v>
      </c>
    </row>
    <row r="815" spans="1:238" ht="13" x14ac:dyDescent="0.3">
      <c r="A815" s="53"/>
      <c r="B815" s="97">
        <v>-1</v>
      </c>
      <c r="D815" s="41"/>
      <c r="E815" s="80"/>
      <c r="F815" s="36"/>
      <c r="G815" s="98"/>
      <c r="H815" s="19"/>
      <c r="I815" s="19"/>
      <c r="J815" s="88"/>
      <c r="K815" s="42"/>
      <c r="L815" s="82"/>
      <c r="M815" s="42"/>
      <c r="N815" s="42"/>
      <c r="O815" s="42"/>
      <c r="P815" s="42"/>
      <c r="Q815" s="42"/>
      <c r="R815" s="38" t="e">
        <f>VLOOKUP((D816),'Pwr Factor'!$A$1:$B$52,2)</f>
        <v>#N/A</v>
      </c>
      <c r="S815" s="50">
        <v>1</v>
      </c>
      <c r="T815" s="42"/>
      <c r="U815" s="42"/>
      <c r="V815" s="42"/>
      <c r="W815" s="42"/>
      <c r="X815" s="42"/>
      <c r="Y815" s="42"/>
      <c r="Z815" s="42"/>
      <c r="AA815" s="42"/>
      <c r="AB815" s="19"/>
      <c r="AC815" s="94"/>
    </row>
    <row r="816" spans="1:238" ht="13" x14ac:dyDescent="0.3">
      <c r="A816" s="1" t="s">
        <v>148</v>
      </c>
      <c r="B816" s="103">
        <f>IF(AND('AES Indiana Bill Calc.'!$D$17="HL1",'AES Indiana Bill Calc.'!$D$18="Yes 100%",'AES Indiana Bill Calc.'!$D$20="Yes 2020"),'AES Indiana Bill Calc.'!$D$19,-1)</f>
        <v>-1</v>
      </c>
      <c r="C816" s="103">
        <f>MAX(E816,$C$769)</f>
        <v>2000</v>
      </c>
      <c r="D816" s="103" t="b">
        <f>IF(AND('AES Indiana Bill Calc.'!$D$17="HL1",'AES Indiana Bill Calc.'!$D$18="Yes 100%",'AES Indiana Bill Calc.'!$D$20="Yes 2020"),'AES Indiana Bill Calc.'!$D$22)</f>
        <v>0</v>
      </c>
      <c r="E816" s="103" t="b">
        <f>IF(AND('AES Indiana Bill Calc.'!$D$17="HL1",'AES Indiana Bill Calc.'!$D$18="Yes 100%",'AES Indiana Bill Calc.'!$D$20="Yes 2020"),'AES Indiana Bill Calc.'!$D$21)</f>
        <v>0</v>
      </c>
      <c r="F816" s="36" t="s">
        <v>237</v>
      </c>
      <c r="G816" s="92" t="e">
        <f>SUM(J816:M816,R816:AA816)</f>
        <v>#N/A</v>
      </c>
      <c r="H816" s="19" t="e">
        <f>IF(ISBLANK(B816),0,+#REF!/B816)</f>
        <v>#REF!</v>
      </c>
      <c r="I816" s="19"/>
      <c r="J816" s="88">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2" t="e">
        <f>ROUND(SUM(K816:M816)*(R815-1),2)</f>
        <v>#N/A</v>
      </c>
      <c r="S816" s="42">
        <f>ROUND($B816*S$771*S815,2)</f>
        <v>0</v>
      </c>
      <c r="T816" s="42">
        <f>ROUND($B816*T$771,2)</f>
        <v>0.01</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4" t="str">
        <f>+F816</f>
        <v>HL10</v>
      </c>
    </row>
    <row r="817" spans="1:29" ht="13" x14ac:dyDescent="0.3">
      <c r="A817" s="9"/>
      <c r="B817" s="97">
        <v>-1</v>
      </c>
      <c r="D817" s="41"/>
      <c r="E817" s="80"/>
      <c r="F817" s="36"/>
      <c r="G817" s="98"/>
      <c r="H817" s="19"/>
      <c r="I817" s="19"/>
      <c r="J817" s="88"/>
      <c r="K817" s="42"/>
      <c r="L817" s="82"/>
      <c r="M817" s="42"/>
      <c r="N817" s="42"/>
      <c r="O817" s="42"/>
      <c r="P817" s="42"/>
      <c r="Q817" s="42"/>
      <c r="R817" s="38" t="e">
        <f>VLOOKUP((D818),'Pwr Factor'!$A$1:$B$52,2)</f>
        <v>#N/A</v>
      </c>
      <c r="S817" s="50">
        <v>0.5</v>
      </c>
      <c r="T817" s="42"/>
      <c r="U817" s="42"/>
      <c r="V817" s="42"/>
      <c r="W817" s="42"/>
      <c r="X817" s="42"/>
      <c r="Y817" s="42"/>
      <c r="Z817" s="42"/>
      <c r="AA817" s="42"/>
      <c r="AB817" s="19"/>
      <c r="AC817" s="94"/>
    </row>
    <row r="818" spans="1:29" ht="13" x14ac:dyDescent="0.3">
      <c r="A818" s="1" t="s">
        <v>149</v>
      </c>
      <c r="B818" s="103">
        <f>IF(AND('AES Indiana Bill Calc.'!$D$17="HL1",'AES Indiana Bill Calc.'!$D$18="Yes 50%",'AES Indiana Bill Calc.'!$D$20="Yes 2020"),'AES Indiana Bill Calc.'!$D$19,-1)</f>
        <v>-1</v>
      </c>
      <c r="C818" s="103">
        <f>MAX(E818,$C$769)</f>
        <v>2000</v>
      </c>
      <c r="D818" s="103" t="b">
        <f>IF(AND('AES Indiana Bill Calc.'!$D$17="HL1",'AES Indiana Bill Calc.'!$D$18="Yes 50%",'AES Indiana Bill Calc.'!$D$20="Yes 2020"),'AES Indiana Bill Calc.'!$D$22)</f>
        <v>0</v>
      </c>
      <c r="E818" s="103" t="b">
        <f>IF(AND('AES Indiana Bill Calc.'!$D$17="HL1",'AES Indiana Bill Calc.'!$D$18="Yes 50%",'AES Indiana Bill Calc.'!$D$20="Yes 2020"),'AES Indiana Bill Calc.'!$D$21)</f>
        <v>0</v>
      </c>
      <c r="F818" s="36" t="s">
        <v>237</v>
      </c>
      <c r="G818" s="92" t="e">
        <f>SUM(J818:M818,R818:AA818)</f>
        <v>#N/A</v>
      </c>
      <c r="H818" s="19" t="e">
        <f>IF(ISBLANK(B818),0,+#REF!/B818)</f>
        <v>#REF!</v>
      </c>
      <c r="I818" s="19"/>
      <c r="J818" s="88">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2" t="e">
        <f>ROUND(SUM(K818:M818)*(R817-1),2)</f>
        <v>#N/A</v>
      </c>
      <c r="S818" s="42">
        <f>ROUND($B818*S$771*S817,2)</f>
        <v>0</v>
      </c>
      <c r="T818" s="42">
        <f>ROUND($B818*T$771,2)</f>
        <v>0.01</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4" t="str">
        <f>+F818</f>
        <v>HL10</v>
      </c>
    </row>
    <row r="819" spans="1:29" ht="13" x14ac:dyDescent="0.3">
      <c r="A819" s="9"/>
      <c r="B819" s="97">
        <v>-1</v>
      </c>
      <c r="D819" s="41"/>
      <c r="E819" s="80"/>
      <c r="F819" s="36"/>
      <c r="G819" s="98"/>
      <c r="H819" s="19"/>
      <c r="I819" s="19"/>
      <c r="J819" s="88"/>
      <c r="K819" s="42"/>
      <c r="L819" s="82"/>
      <c r="M819" s="42"/>
      <c r="N819" s="42"/>
      <c r="O819" s="42"/>
      <c r="P819" s="42"/>
      <c r="Q819" s="42"/>
      <c r="R819" s="38" t="e">
        <f>VLOOKUP((D820),'Pwr Factor'!$A$1:$B$52,2)</f>
        <v>#N/A</v>
      </c>
      <c r="S819" s="50">
        <v>0.25</v>
      </c>
      <c r="T819" s="42"/>
      <c r="U819" s="42"/>
      <c r="V819" s="42"/>
      <c r="W819" s="42"/>
      <c r="X819" s="42"/>
      <c r="Y819" s="42"/>
      <c r="Z819" s="42"/>
      <c r="AA819" s="42"/>
      <c r="AB819" s="19"/>
      <c r="AC819" s="94"/>
    </row>
    <row r="820" spans="1:29" ht="13" x14ac:dyDescent="0.3">
      <c r="A820" s="1" t="s">
        <v>150</v>
      </c>
      <c r="B820" s="103">
        <f>IF(AND('AES Indiana Bill Calc.'!$D$17="HL1",'AES Indiana Bill Calc.'!$D$18="Yes 25%",'AES Indiana Bill Calc.'!$D$20="Yes 2020"),'AES Indiana Bill Calc.'!$D$19,-1)</f>
        <v>-1</v>
      </c>
      <c r="C820" s="103">
        <f>MAX(E820,$C$769)</f>
        <v>2000</v>
      </c>
      <c r="D820" s="103" t="b">
        <f>IF(AND('AES Indiana Bill Calc.'!$D$17="HL1",'AES Indiana Bill Calc.'!$D$18="Yes 25%",'AES Indiana Bill Calc.'!$D$20="Yes 2020"),'AES Indiana Bill Calc.'!$D$22)</f>
        <v>0</v>
      </c>
      <c r="E820" s="103" t="b">
        <f>IF(AND('AES Indiana Bill Calc.'!$D$17="HL1",'AES Indiana Bill Calc.'!$D$18="Yes 25%",'AES Indiana Bill Calc.'!$D$20="Yes 2020"),'AES Indiana Bill Calc.'!$D$21)</f>
        <v>0</v>
      </c>
      <c r="F820" s="36" t="s">
        <v>237</v>
      </c>
      <c r="G820" s="92" t="e">
        <f>SUM(J820:M820,R820:AA820)</f>
        <v>#N/A</v>
      </c>
      <c r="H820" s="19" t="e">
        <f>IF(ISBLANK(B820),0,+#REF!/B820)</f>
        <v>#REF!</v>
      </c>
      <c r="I820" s="19"/>
      <c r="J820" s="88">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2" t="e">
        <f>ROUND(SUM(K820:M820)*(R819-1),2)</f>
        <v>#N/A</v>
      </c>
      <c r="S820" s="42">
        <f>ROUND($B820*S$771*S819,2)</f>
        <v>0</v>
      </c>
      <c r="T820" s="42">
        <f>ROUND($B820*T$771,2)</f>
        <v>0.01</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4" t="str">
        <f>+F820</f>
        <v>HL10</v>
      </c>
    </row>
    <row r="821" spans="1:29" ht="13" x14ac:dyDescent="0.3">
      <c r="A821" s="9"/>
      <c r="B821" s="97">
        <v>-1</v>
      </c>
      <c r="D821" s="41"/>
      <c r="E821" s="80"/>
      <c r="F821" s="36"/>
      <c r="G821" s="98"/>
      <c r="H821" s="19"/>
      <c r="I821" s="19"/>
      <c r="J821" s="88"/>
      <c r="K821" s="42"/>
      <c r="L821" s="82"/>
      <c r="M821" s="42"/>
      <c r="N821" s="42"/>
      <c r="O821" s="42"/>
      <c r="P821" s="42"/>
      <c r="Q821" s="42"/>
      <c r="R821" s="38" t="e">
        <f>VLOOKUP((D822),'Pwr Factor'!$A$1:$B$52,2)</f>
        <v>#N/A</v>
      </c>
      <c r="S821" s="50">
        <v>0.1</v>
      </c>
      <c r="T821" s="42"/>
      <c r="U821" s="42"/>
      <c r="V821" s="42"/>
      <c r="W821" s="42"/>
      <c r="X821" s="42"/>
      <c r="Y821" s="42"/>
      <c r="Z821" s="42"/>
      <c r="AA821" s="42"/>
      <c r="AB821" s="19"/>
      <c r="AC821" s="94"/>
    </row>
    <row r="822" spans="1:29" ht="13" x14ac:dyDescent="0.3">
      <c r="A822" s="1" t="s">
        <v>164</v>
      </c>
      <c r="B822" s="103">
        <f>IF(AND('AES Indiana Bill Calc.'!$D$17="HL1",'AES Indiana Bill Calc.'!$D$18="Yes 10%",'AES Indiana Bill Calc.'!$D$20="Yes 2020"),'AES Indiana Bill Calc.'!$D$19,-1)</f>
        <v>-1</v>
      </c>
      <c r="C822" s="103">
        <f>MAX(E822,$C$769)</f>
        <v>2000</v>
      </c>
      <c r="D822" s="103" t="b">
        <f>IF(AND('AES Indiana Bill Calc.'!$D$17="HL1",'AES Indiana Bill Calc.'!$D$18="Yes 10%",'AES Indiana Bill Calc.'!$D$20="Yes 2020"),'AES Indiana Bill Calc.'!$D$22)</f>
        <v>0</v>
      </c>
      <c r="E822" s="103" t="b">
        <f>IF(AND('AES Indiana Bill Calc.'!$D$17="HL1",'AES Indiana Bill Calc.'!$D$18="Yes 10%",'AES Indiana Bill Calc.'!$D$20="Yes 2020"),'AES Indiana Bill Calc.'!$D$21)</f>
        <v>0</v>
      </c>
      <c r="F822" s="36" t="s">
        <v>237</v>
      </c>
      <c r="G822" s="92" t="e">
        <f>SUM(J822:M822,R822:AA822)</f>
        <v>#N/A</v>
      </c>
      <c r="H822" s="19" t="e">
        <f>IF(ISBLANK(B822),0,+#REF!/B822)</f>
        <v>#REF!</v>
      </c>
      <c r="I822" s="19"/>
      <c r="J822" s="88">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2" t="e">
        <f>ROUND(SUM(K822:M822)*(R821-1),2)</f>
        <v>#N/A</v>
      </c>
      <c r="S822" s="42">
        <f>ROUND($B822*S$771*S821,2)</f>
        <v>0</v>
      </c>
      <c r="T822" s="42">
        <f>ROUND($B822*T$771,2)</f>
        <v>0.01</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4" t="str">
        <f>+F822</f>
        <v>HL10</v>
      </c>
    </row>
    <row r="823" spans="1:29" ht="13" x14ac:dyDescent="0.3">
      <c r="A823" s="9"/>
      <c r="B823" s="97">
        <v>-1</v>
      </c>
      <c r="D823" s="41"/>
      <c r="E823" s="80"/>
      <c r="F823" s="36"/>
      <c r="G823" s="98"/>
      <c r="H823" s="19"/>
      <c r="I823" s="19"/>
      <c r="J823" s="88"/>
      <c r="K823" s="42"/>
      <c r="L823" s="82"/>
      <c r="M823" s="42"/>
      <c r="N823" s="42"/>
      <c r="O823" s="42"/>
      <c r="P823" s="42"/>
      <c r="Q823" s="42"/>
      <c r="R823" s="38" t="e">
        <f>VLOOKUP((D824),'Pwr Factor'!$A$1:$B$52,2)</f>
        <v>#N/A</v>
      </c>
      <c r="S823" s="50">
        <v>0</v>
      </c>
      <c r="T823" s="42"/>
      <c r="U823" s="42"/>
      <c r="V823" s="42"/>
      <c r="W823" s="42"/>
      <c r="X823" s="42"/>
      <c r="Y823" s="42"/>
      <c r="Z823" s="42"/>
      <c r="AA823" s="42"/>
      <c r="AB823" s="19"/>
      <c r="AC823" s="94"/>
    </row>
    <row r="824" spans="1:29" ht="13" x14ac:dyDescent="0.3">
      <c r="A824" s="1" t="s">
        <v>147</v>
      </c>
      <c r="B824" s="103">
        <f>IF(AND('AES Indiana Bill Calc.'!$D$17="HL1",'AES Indiana Bill Calc.'!$D$18="No",'AES Indiana Bill Calc.'!$D$20="Yes 2020"),'AES Indiana Bill Calc.'!$D$19,-1)</f>
        <v>-1</v>
      </c>
      <c r="C824" s="103">
        <f>MAX(E824,$C$769)</f>
        <v>2000</v>
      </c>
      <c r="D824" s="103" t="b">
        <f>IF(AND('AES Indiana Bill Calc.'!$D$17="HL1",'AES Indiana Bill Calc.'!$D$18="No",'AES Indiana Bill Calc.'!$D$20="Yes 2020"),'AES Indiana Bill Calc.'!$D$22)</f>
        <v>0</v>
      </c>
      <c r="E824" s="103" t="b">
        <f>IF(AND('AES Indiana Bill Calc.'!$D$17="HL1",'AES Indiana Bill Calc.'!$D$18="No",'AES Indiana Bill Calc.'!$D$20="Yes 2020"),'AES Indiana Bill Calc.'!$D$21)</f>
        <v>0</v>
      </c>
      <c r="F824" s="36" t="s">
        <v>237</v>
      </c>
      <c r="G824" s="92" t="e">
        <f>SUM(J824:M824,R824:AA824)</f>
        <v>#N/A</v>
      </c>
      <c r="H824" s="19" t="e">
        <f>IF(ISBLANK(B824),0,+#REF!/B824)</f>
        <v>#REF!</v>
      </c>
      <c r="I824" s="19"/>
      <c r="J824" s="88">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2" t="e">
        <f>ROUND(SUM(K824:M824)*(R823-1),2)</f>
        <v>#N/A</v>
      </c>
      <c r="S824" s="42">
        <f>ROUND($B824*S$771*S823,2)</f>
        <v>0</v>
      </c>
      <c r="T824" s="42">
        <f>ROUND($B824*T$771,2)</f>
        <v>0.01</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4" t="str">
        <f>+F824</f>
        <v>HL10</v>
      </c>
    </row>
    <row r="825" spans="1:29" ht="13" x14ac:dyDescent="0.3">
      <c r="A825" s="53"/>
      <c r="B825" s="97">
        <v>-1</v>
      </c>
      <c r="D825" s="41"/>
      <c r="E825" s="80"/>
      <c r="F825" s="36"/>
      <c r="G825" s="98"/>
      <c r="H825" s="19"/>
      <c r="I825" s="19"/>
      <c r="J825" s="88"/>
      <c r="K825" s="42"/>
      <c r="L825" s="82"/>
      <c r="M825" s="42"/>
      <c r="N825" s="42"/>
      <c r="O825" s="42"/>
      <c r="P825" s="42"/>
      <c r="Q825" s="42"/>
      <c r="R825" s="38" t="e">
        <f>VLOOKUP((D826),'Pwr Factor'!$A$1:$B$52,2)</f>
        <v>#N/A</v>
      </c>
      <c r="S825" s="50">
        <v>1</v>
      </c>
      <c r="T825" s="42"/>
      <c r="U825" s="42"/>
      <c r="V825" s="42"/>
      <c r="W825" s="42"/>
      <c r="X825" s="42"/>
      <c r="Y825" s="42"/>
      <c r="Z825" s="42"/>
      <c r="AA825" s="42"/>
      <c r="AB825" s="19"/>
      <c r="AC825" s="94"/>
    </row>
    <row r="826" spans="1:29" ht="13" x14ac:dyDescent="0.3">
      <c r="A826" s="1" t="s">
        <v>148</v>
      </c>
      <c r="B826" s="103">
        <f>IF(AND('AES Indiana Bill Calc.'!$D$17="HL1",'AES Indiana Bill Calc.'!$D$18="Yes 100%",'AES Indiana Bill Calc.'!$D$20="Yes 2021"),'AES Indiana Bill Calc.'!$D$19,-1)</f>
        <v>-1</v>
      </c>
      <c r="C826" s="103">
        <f>MAX(E826,$C$769)</f>
        <v>2000</v>
      </c>
      <c r="D826" s="103" t="b">
        <f>IF(AND('AES Indiana Bill Calc.'!$D$17="HL1",'AES Indiana Bill Calc.'!$D$18="Yes 100%",'AES Indiana Bill Calc.'!$D$20="Yes 2021"),'AES Indiana Bill Calc.'!$D$22)</f>
        <v>0</v>
      </c>
      <c r="E826" s="103" t="b">
        <f>IF(AND('AES Indiana Bill Calc.'!$D$17="HL1",'AES Indiana Bill Calc.'!$D$18="Yes 100%",'AES Indiana Bill Calc.'!$D$20="Yes 2021"),'AES Indiana Bill Calc.'!$D$21)</f>
        <v>0</v>
      </c>
      <c r="F826" s="36" t="s">
        <v>238</v>
      </c>
      <c r="G826" s="92" t="e">
        <f>SUM(J826:M826,R826:AA826)</f>
        <v>#N/A</v>
      </c>
      <c r="H826" s="19" t="e">
        <f>IF(ISBLANK(B826),0,+#REF!/B826)</f>
        <v>#REF!</v>
      </c>
      <c r="I826" s="19"/>
      <c r="J826" s="88">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2" t="e">
        <f>ROUND(SUM(K826:M826)*(R825-1),2)</f>
        <v>#N/A</v>
      </c>
      <c r="S826" s="42">
        <f>ROUND($B826*S$771*S825,2)</f>
        <v>0</v>
      </c>
      <c r="T826" s="42">
        <f>ROUND($B826*T$771,2)</f>
        <v>0.01</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4" t="str">
        <f>+F826</f>
        <v>HL11</v>
      </c>
    </row>
    <row r="827" spans="1:29" ht="13" x14ac:dyDescent="0.3">
      <c r="A827" s="9"/>
      <c r="B827" s="97">
        <v>-1</v>
      </c>
      <c r="D827" s="41"/>
      <c r="E827" s="80"/>
      <c r="F827" s="36"/>
      <c r="G827" s="98"/>
      <c r="H827" s="19"/>
      <c r="I827" s="19"/>
      <c r="J827" s="88"/>
      <c r="K827" s="42"/>
      <c r="L827" s="82"/>
      <c r="M827" s="42"/>
      <c r="N827" s="42"/>
      <c r="O827" s="42"/>
      <c r="P827" s="42"/>
      <c r="Q827" s="42"/>
      <c r="R827" s="38" t="e">
        <f>VLOOKUP((D828),'Pwr Factor'!$A$1:$B$52,2)</f>
        <v>#N/A</v>
      </c>
      <c r="S827" s="50">
        <v>0.5</v>
      </c>
      <c r="T827" s="42"/>
      <c r="U827" s="42"/>
      <c r="V827" s="42"/>
      <c r="W827" s="42"/>
      <c r="X827" s="42"/>
      <c r="Y827" s="42"/>
      <c r="Z827" s="42"/>
      <c r="AA827" s="42"/>
      <c r="AB827" s="19"/>
      <c r="AC827" s="94"/>
    </row>
    <row r="828" spans="1:29" ht="13" x14ac:dyDescent="0.3">
      <c r="A828" s="1" t="s">
        <v>149</v>
      </c>
      <c r="B828" s="103">
        <f>IF(AND('AES Indiana Bill Calc.'!$D$17="HL1",'AES Indiana Bill Calc.'!$D$18="Yes 50%",'AES Indiana Bill Calc.'!$D$20="Yes 2021"),'AES Indiana Bill Calc.'!$D$19,-1)</f>
        <v>-1</v>
      </c>
      <c r="C828" s="103">
        <f>MAX(E828,$C$769)</f>
        <v>2000</v>
      </c>
      <c r="D828" s="103" t="b">
        <f>IF(AND('AES Indiana Bill Calc.'!$D$17="HL1",'AES Indiana Bill Calc.'!$D$18="Yes 50%",'AES Indiana Bill Calc.'!$D$20="Yes 2021"),'AES Indiana Bill Calc.'!$D$22)</f>
        <v>0</v>
      </c>
      <c r="E828" s="103" t="b">
        <f>IF(AND('AES Indiana Bill Calc.'!$D$17="HL1",'AES Indiana Bill Calc.'!$D$18="Yes 50%",'AES Indiana Bill Calc.'!$D$20="Yes 2021"),'AES Indiana Bill Calc.'!$D$21)</f>
        <v>0</v>
      </c>
      <c r="F828" s="36" t="s">
        <v>238</v>
      </c>
      <c r="G828" s="92" t="e">
        <f>SUM(J828:M828,R828:AA828)</f>
        <v>#N/A</v>
      </c>
      <c r="H828" s="19" t="e">
        <f>IF(ISBLANK(B828),0,+#REF!/B828)</f>
        <v>#REF!</v>
      </c>
      <c r="I828" s="19"/>
      <c r="J828" s="88">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2" t="e">
        <f>ROUND(SUM(K828:M828)*(R827-1),2)</f>
        <v>#N/A</v>
      </c>
      <c r="S828" s="42">
        <f>ROUND($B828*S$771*S827,2)</f>
        <v>0</v>
      </c>
      <c r="T828" s="42">
        <f>ROUND($B828*T$771,2)</f>
        <v>0.01</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4" t="str">
        <f>+F828</f>
        <v>HL11</v>
      </c>
    </row>
    <row r="829" spans="1:29" ht="13" x14ac:dyDescent="0.3">
      <c r="A829" s="9"/>
      <c r="B829" s="97">
        <v>-1</v>
      </c>
      <c r="D829" s="41"/>
      <c r="E829" s="80"/>
      <c r="F829" s="36"/>
      <c r="G829" s="98"/>
      <c r="H829" s="19"/>
      <c r="I829" s="19"/>
      <c r="J829" s="88"/>
      <c r="K829" s="42"/>
      <c r="L829" s="82"/>
      <c r="M829" s="42"/>
      <c r="N829" s="42"/>
      <c r="O829" s="42"/>
      <c r="P829" s="42"/>
      <c r="Q829" s="42"/>
      <c r="R829" s="38" t="e">
        <f>VLOOKUP((D830),'Pwr Factor'!$A$1:$B$52,2)</f>
        <v>#N/A</v>
      </c>
      <c r="S829" s="50">
        <v>0.25</v>
      </c>
      <c r="T829" s="42"/>
      <c r="U829" s="42"/>
      <c r="V829" s="42"/>
      <c r="W829" s="42"/>
      <c r="X829" s="42"/>
      <c r="Y829" s="42"/>
      <c r="Z829" s="42"/>
      <c r="AA829" s="42"/>
      <c r="AB829" s="19"/>
      <c r="AC829" s="94"/>
    </row>
    <row r="830" spans="1:29" ht="13" x14ac:dyDescent="0.3">
      <c r="A830" s="1" t="s">
        <v>150</v>
      </c>
      <c r="B830" s="103">
        <f>IF(AND('AES Indiana Bill Calc.'!$D$17="HL1",'AES Indiana Bill Calc.'!$D$18="Yes 25%",'AES Indiana Bill Calc.'!$D$20="Yes 2021"),'AES Indiana Bill Calc.'!$D$19,-1)</f>
        <v>-1</v>
      </c>
      <c r="C830" s="103">
        <f>MAX(E830,$C$769)</f>
        <v>2000</v>
      </c>
      <c r="D830" s="103" t="b">
        <f>IF(AND('AES Indiana Bill Calc.'!$D$17="HL1",'AES Indiana Bill Calc.'!$D$18="Yes 25%",'AES Indiana Bill Calc.'!$D$20="Yes 2021"),'AES Indiana Bill Calc.'!$D$22)</f>
        <v>0</v>
      </c>
      <c r="E830" s="103" t="b">
        <f>IF(AND('AES Indiana Bill Calc.'!$D$17="HL1",'AES Indiana Bill Calc.'!$D$18="Yes 25%",'AES Indiana Bill Calc.'!$D$20="Yes 2021"),'AES Indiana Bill Calc.'!$D$21)</f>
        <v>0</v>
      </c>
      <c r="F830" s="36" t="s">
        <v>238</v>
      </c>
      <c r="G830" s="92" t="e">
        <f>SUM(J830:M830,R830:AA830)</f>
        <v>#N/A</v>
      </c>
      <c r="H830" s="19" t="e">
        <f>IF(ISBLANK(B830),0,+#REF!/B830)</f>
        <v>#REF!</v>
      </c>
      <c r="I830" s="19"/>
      <c r="J830" s="88">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2" t="e">
        <f>ROUND(SUM(K830:M830)*(R829-1),2)</f>
        <v>#N/A</v>
      </c>
      <c r="S830" s="42">
        <f>ROUND($B830*S$771*S829,2)</f>
        <v>0</v>
      </c>
      <c r="T830" s="42">
        <f>ROUND($B830*T$771,2)</f>
        <v>0.01</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4" t="str">
        <f>+F830</f>
        <v>HL11</v>
      </c>
    </row>
    <row r="831" spans="1:29" ht="13" x14ac:dyDescent="0.3">
      <c r="A831" s="9"/>
      <c r="B831" s="97">
        <v>-1</v>
      </c>
      <c r="D831" s="41"/>
      <c r="E831" s="80"/>
      <c r="F831" s="36"/>
      <c r="G831" s="98"/>
      <c r="H831" s="19"/>
      <c r="I831" s="19"/>
      <c r="J831" s="88"/>
      <c r="K831" s="42"/>
      <c r="L831" s="82"/>
      <c r="M831" s="42"/>
      <c r="N831" s="42"/>
      <c r="O831" s="42"/>
      <c r="P831" s="42"/>
      <c r="Q831" s="42"/>
      <c r="R831" s="38" t="e">
        <f>VLOOKUP((D832),'Pwr Factor'!$A$1:$B$52,2)</f>
        <v>#N/A</v>
      </c>
      <c r="S831" s="50">
        <v>0.1</v>
      </c>
      <c r="T831" s="42"/>
      <c r="U831" s="42"/>
      <c r="V831" s="42"/>
      <c r="W831" s="42"/>
      <c r="X831" s="42"/>
      <c r="Y831" s="42"/>
      <c r="Z831" s="42"/>
      <c r="AA831" s="42"/>
      <c r="AB831" s="19"/>
      <c r="AC831" s="94"/>
    </row>
    <row r="832" spans="1:29" ht="13" x14ac:dyDescent="0.3">
      <c r="A832" s="1" t="s">
        <v>164</v>
      </c>
      <c r="B832" s="103">
        <f>IF(AND('AES Indiana Bill Calc.'!$D$17="HL1",'AES Indiana Bill Calc.'!$D$18="Yes 10%",'AES Indiana Bill Calc.'!$D$20="Yes 2021"),'AES Indiana Bill Calc.'!$D$19,-1)</f>
        <v>-1</v>
      </c>
      <c r="C832" s="103">
        <f>MAX(E832,$C$769)</f>
        <v>2000</v>
      </c>
      <c r="D832" s="103" t="b">
        <f>IF(AND('AES Indiana Bill Calc.'!$D$17="HL1",'AES Indiana Bill Calc.'!$D$18="Yes 10%",'AES Indiana Bill Calc.'!$D$20="Yes 2021"),'AES Indiana Bill Calc.'!$D$22)</f>
        <v>0</v>
      </c>
      <c r="E832" s="103" t="b">
        <f>IF(AND('AES Indiana Bill Calc.'!$D$17="HL1",'AES Indiana Bill Calc.'!$D$18="Yes 10%",'AES Indiana Bill Calc.'!$D$20="Yes 2021"),'AES Indiana Bill Calc.'!$D$21)</f>
        <v>0</v>
      </c>
      <c r="F832" s="36" t="s">
        <v>238</v>
      </c>
      <c r="G832" s="92" t="e">
        <f>SUM(J832:M832,R832:AA832)</f>
        <v>#N/A</v>
      </c>
      <c r="H832" s="19" t="e">
        <f>IF(ISBLANK(B832),0,+#REF!/B832)</f>
        <v>#REF!</v>
      </c>
      <c r="I832" s="19"/>
      <c r="J832" s="88">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2" t="e">
        <f>ROUND(SUM(K832:M832)*(R831-1),2)</f>
        <v>#N/A</v>
      </c>
      <c r="S832" s="42">
        <f>ROUND($B832*S$771*S831,2)</f>
        <v>0</v>
      </c>
      <c r="T832" s="42">
        <f>ROUND($B832*T$771,2)</f>
        <v>0.01</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4" t="str">
        <f>+F832</f>
        <v>HL11</v>
      </c>
    </row>
    <row r="833" spans="1:29" ht="13" x14ac:dyDescent="0.3">
      <c r="A833" s="9"/>
      <c r="B833" s="97">
        <v>-1</v>
      </c>
      <c r="D833" s="41"/>
      <c r="E833" s="80"/>
      <c r="F833" s="36"/>
      <c r="G833" s="98"/>
      <c r="H833" s="19"/>
      <c r="I833" s="19"/>
      <c r="J833" s="88"/>
      <c r="K833" s="42"/>
      <c r="L833" s="82"/>
      <c r="M833" s="42"/>
      <c r="N833" s="42"/>
      <c r="O833" s="42"/>
      <c r="P833" s="42"/>
      <c r="Q833" s="42"/>
      <c r="R833" s="38" t="e">
        <f>VLOOKUP((D834),'Pwr Factor'!$A$1:$B$52,2)</f>
        <v>#N/A</v>
      </c>
      <c r="S833" s="50">
        <v>0</v>
      </c>
      <c r="T833" s="42"/>
      <c r="U833" s="42"/>
      <c r="V833" s="42"/>
      <c r="W833" s="42"/>
      <c r="X833" s="42"/>
      <c r="Y833" s="42"/>
      <c r="Z833" s="42"/>
      <c r="AA833" s="42"/>
      <c r="AB833" s="19"/>
      <c r="AC833" s="94"/>
    </row>
    <row r="834" spans="1:29" ht="13" x14ac:dyDescent="0.3">
      <c r="A834" s="1" t="s">
        <v>147</v>
      </c>
      <c r="B834" s="103">
        <f>IF(AND('AES Indiana Bill Calc.'!$D$17="HL1",'AES Indiana Bill Calc.'!$D$18="No",'AES Indiana Bill Calc.'!$D$20="Yes 2021"),'AES Indiana Bill Calc.'!$D$19,-1)</f>
        <v>-1</v>
      </c>
      <c r="C834" s="103">
        <f>MAX(E834,$C$769)</f>
        <v>2000</v>
      </c>
      <c r="D834" s="103" t="b">
        <f>IF(AND('AES Indiana Bill Calc.'!$D$17="HL1",'AES Indiana Bill Calc.'!$D$18="No",'AES Indiana Bill Calc.'!$D$20="Yes 2021"),'AES Indiana Bill Calc.'!$D$22)</f>
        <v>0</v>
      </c>
      <c r="E834" s="103" t="b">
        <f>IF(AND('AES Indiana Bill Calc.'!$D$17="HL1",'AES Indiana Bill Calc.'!$D$18="No",'AES Indiana Bill Calc.'!$D$20="Yes 2021"),'AES Indiana Bill Calc.'!$D$21)</f>
        <v>0</v>
      </c>
      <c r="F834" s="36" t="s">
        <v>238</v>
      </c>
      <c r="G834" s="92" t="e">
        <f>SUM(J834:M834,R834:AA834)</f>
        <v>#N/A</v>
      </c>
      <c r="H834" s="19" t="e">
        <f>IF(ISBLANK(B834),0,+#REF!/B834)</f>
        <v>#REF!</v>
      </c>
      <c r="I834" s="19"/>
      <c r="J834" s="88">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2" t="e">
        <f>ROUND(SUM(K834:M834)*(R833-1),2)</f>
        <v>#N/A</v>
      </c>
      <c r="S834" s="42">
        <f>ROUND($B834*S$771*S833,2)</f>
        <v>0</v>
      </c>
      <c r="T834" s="42">
        <f>ROUND($B834*T$771,2)</f>
        <v>0.01</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4" t="str">
        <f>+F834</f>
        <v>HL11</v>
      </c>
    </row>
    <row r="835" spans="1:29" ht="13" x14ac:dyDescent="0.3">
      <c r="A835" s="53"/>
      <c r="B835" s="97">
        <v>-1</v>
      </c>
      <c r="D835" s="41"/>
      <c r="E835" s="80"/>
      <c r="F835" s="36"/>
      <c r="G835" s="98"/>
      <c r="H835" s="19"/>
      <c r="I835" s="19"/>
      <c r="J835" s="88"/>
      <c r="K835" s="42"/>
      <c r="L835" s="82"/>
      <c r="M835" s="42"/>
      <c r="N835" s="42"/>
      <c r="O835" s="42"/>
      <c r="P835" s="42"/>
      <c r="Q835" s="42"/>
      <c r="R835" s="38" t="e">
        <f>VLOOKUP((D836),'Pwr Factor'!$A$1:$B$52,2)</f>
        <v>#N/A</v>
      </c>
      <c r="S835" s="50">
        <v>1</v>
      </c>
      <c r="T835" s="42"/>
      <c r="U835" s="42"/>
      <c r="V835" s="42"/>
      <c r="W835" s="42"/>
      <c r="X835" s="42"/>
      <c r="Y835" s="42"/>
      <c r="Z835" s="42"/>
      <c r="AA835" s="42"/>
      <c r="AB835" s="19"/>
      <c r="AC835" s="94"/>
    </row>
    <row r="836" spans="1:29" ht="13" x14ac:dyDescent="0.3">
      <c r="A836" s="1" t="s">
        <v>148</v>
      </c>
      <c r="B836" s="103">
        <f>IF(AND('AES Indiana Bill Calc.'!$D$17="HL1",'AES Indiana Bill Calc.'!$D$18="Yes 100%",'AES Indiana Bill Calc.'!$D$20="Yes 2022"),'AES Indiana Bill Calc.'!$D$19,-1)</f>
        <v>-1</v>
      </c>
      <c r="C836" s="103">
        <f>MAX(E836,$C$769)</f>
        <v>2000</v>
      </c>
      <c r="D836" s="103" t="b">
        <f>IF(AND('AES Indiana Bill Calc.'!$D$17="HL1",'AES Indiana Bill Calc.'!$D$18="Yes 100%",'AES Indiana Bill Calc.'!$D$20="Yes 2022"),'AES Indiana Bill Calc.'!$D$22)</f>
        <v>0</v>
      </c>
      <c r="E836" s="103" t="b">
        <f>IF(AND('AES Indiana Bill Calc.'!$D$17="HL1",'AES Indiana Bill Calc.'!$D$18="Yes 100%",'AES Indiana Bill Calc.'!$D$20="Yes 2022"),'AES Indiana Bill Calc.'!$D$21)</f>
        <v>0</v>
      </c>
      <c r="F836" s="36" t="s">
        <v>239</v>
      </c>
      <c r="G836" s="98" t="e">
        <v>#N/A</v>
      </c>
      <c r="H836" s="19" t="e">
        <f>IF(ISBLANK(B836),0,+#REF!/B836)</f>
        <v>#REF!</v>
      </c>
      <c r="I836" s="19"/>
      <c r="J836" s="88">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2" t="e">
        <f>ROUND(SUM(K836:M836)*(R835-1),2)</f>
        <v>#N/A</v>
      </c>
      <c r="S836" s="42">
        <f>ROUND($B836*S$771*S835,2)</f>
        <v>0</v>
      </c>
      <c r="T836" s="42">
        <f>ROUND($B836*T$771,2)</f>
        <v>0.01</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4" t="str">
        <f>+F836</f>
        <v>HL12</v>
      </c>
    </row>
    <row r="837" spans="1:29" ht="13" x14ac:dyDescent="0.3">
      <c r="A837" s="9"/>
      <c r="B837" s="97">
        <v>-1</v>
      </c>
      <c r="D837" s="41"/>
      <c r="E837" s="80"/>
      <c r="F837" s="36"/>
      <c r="G837" s="98"/>
      <c r="H837" s="19"/>
      <c r="I837" s="19"/>
      <c r="J837" s="88"/>
      <c r="K837" s="42"/>
      <c r="L837" s="82"/>
      <c r="M837" s="42"/>
      <c r="N837" s="42"/>
      <c r="O837" s="42"/>
      <c r="P837" s="42"/>
      <c r="Q837" s="42"/>
      <c r="R837" s="38" t="e">
        <f>VLOOKUP((D838),'Pwr Factor'!$A$1:$B$52,2)</f>
        <v>#N/A</v>
      </c>
      <c r="S837" s="50">
        <v>0.5</v>
      </c>
      <c r="T837" s="42"/>
      <c r="U837" s="42"/>
      <c r="V837" s="42"/>
      <c r="W837" s="42"/>
      <c r="X837" s="42"/>
      <c r="Y837" s="42"/>
      <c r="Z837" s="42"/>
      <c r="AA837" s="42"/>
      <c r="AB837" s="19"/>
      <c r="AC837" s="94"/>
    </row>
    <row r="838" spans="1:29" ht="13" x14ac:dyDescent="0.3">
      <c r="A838" s="1" t="s">
        <v>149</v>
      </c>
      <c r="B838" s="103">
        <f>IF(AND('AES Indiana Bill Calc.'!$D$17="HL1",'AES Indiana Bill Calc.'!$D$18="Yes 50%",'AES Indiana Bill Calc.'!$D$20="Yes 2022"),'AES Indiana Bill Calc.'!$D$19,-1)</f>
        <v>-1</v>
      </c>
      <c r="C838" s="103">
        <f>MAX(E838,$C$769)</f>
        <v>2000</v>
      </c>
      <c r="D838" s="103" t="b">
        <f>IF(AND('AES Indiana Bill Calc.'!$D$17="HL1",'AES Indiana Bill Calc.'!$D$18="Yes 50%",'AES Indiana Bill Calc.'!$D$20="Yes 2022"),'AES Indiana Bill Calc.'!$D$22)</f>
        <v>0</v>
      </c>
      <c r="E838" s="103" t="b">
        <f>IF(AND('AES Indiana Bill Calc.'!$D$17="HL1",'AES Indiana Bill Calc.'!$D$18="Yes 50%",'AES Indiana Bill Calc.'!$D$20="Yes 2022"),'AES Indiana Bill Calc.'!$D$21)</f>
        <v>0</v>
      </c>
      <c r="F838" s="36" t="s">
        <v>239</v>
      </c>
      <c r="G838" s="92" t="e">
        <f>SUM(J838:M838,R838:AA838)</f>
        <v>#N/A</v>
      </c>
      <c r="H838" s="19" t="e">
        <f>IF(ISBLANK(B838),0,+#REF!/B838)</f>
        <v>#REF!</v>
      </c>
      <c r="I838" s="19"/>
      <c r="J838" s="88">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2" t="e">
        <f>ROUND(SUM(K838:M838)*(R837-1),2)</f>
        <v>#N/A</v>
      </c>
      <c r="S838" s="42">
        <f>ROUND($B838*S$771*S837,2)</f>
        <v>0</v>
      </c>
      <c r="T838" s="42">
        <f>ROUND($B838*T$771,2)</f>
        <v>0.01</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4" t="str">
        <f>+F838</f>
        <v>HL12</v>
      </c>
    </row>
    <row r="839" spans="1:29" ht="13" x14ac:dyDescent="0.3">
      <c r="A839" s="9"/>
      <c r="B839" s="97">
        <v>-1</v>
      </c>
      <c r="D839" s="41"/>
      <c r="E839" s="80"/>
      <c r="F839" s="36"/>
      <c r="G839" s="98"/>
      <c r="H839" s="19"/>
      <c r="I839" s="19"/>
      <c r="J839" s="88"/>
      <c r="K839" s="42"/>
      <c r="L839" s="82"/>
      <c r="M839" s="42"/>
      <c r="N839" s="42"/>
      <c r="O839" s="42"/>
      <c r="P839" s="42"/>
      <c r="Q839" s="42"/>
      <c r="R839" s="38" t="e">
        <f>VLOOKUP((D840),'Pwr Factor'!$A$1:$B$52,2)</f>
        <v>#N/A</v>
      </c>
      <c r="S839" s="50">
        <v>0.25</v>
      </c>
      <c r="T839" s="42"/>
      <c r="U839" s="42"/>
      <c r="V839" s="42"/>
      <c r="W839" s="42"/>
      <c r="X839" s="42"/>
      <c r="Y839" s="42"/>
      <c r="Z839" s="42"/>
      <c r="AA839" s="42"/>
      <c r="AB839" s="19"/>
      <c r="AC839" s="94"/>
    </row>
    <row r="840" spans="1:29" ht="13" x14ac:dyDescent="0.3">
      <c r="A840" s="1" t="s">
        <v>150</v>
      </c>
      <c r="B840" s="103">
        <f>IF(AND('AES Indiana Bill Calc.'!$D$17="HL1",'AES Indiana Bill Calc.'!$D$18="Yes 25%",'AES Indiana Bill Calc.'!$D$20="Yes 2022"),'AES Indiana Bill Calc.'!$D$19,-1)</f>
        <v>-1</v>
      </c>
      <c r="C840" s="103">
        <f>MAX(E840,$C$769)</f>
        <v>2000</v>
      </c>
      <c r="D840" s="103" t="b">
        <f>IF(AND('AES Indiana Bill Calc.'!$D$17="HL1",'AES Indiana Bill Calc.'!$D$18="Yes 25%",'AES Indiana Bill Calc.'!$D$20="Yes 2022"),'AES Indiana Bill Calc.'!$D$22)</f>
        <v>0</v>
      </c>
      <c r="E840" s="103" t="b">
        <f>IF(AND('AES Indiana Bill Calc.'!$D$17="HL1",'AES Indiana Bill Calc.'!$D$18="Yes 25%",'AES Indiana Bill Calc.'!$D$20="Yes 2022"),'AES Indiana Bill Calc.'!$D$21)</f>
        <v>0</v>
      </c>
      <c r="F840" s="36" t="s">
        <v>239</v>
      </c>
      <c r="G840" s="92" t="e">
        <f>SUM(J840:M840,R840:AA840)</f>
        <v>#N/A</v>
      </c>
      <c r="H840" s="19" t="e">
        <f>IF(ISBLANK(B840),0,+#REF!/B840)</f>
        <v>#REF!</v>
      </c>
      <c r="I840" s="19"/>
      <c r="J840" s="88">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2" t="e">
        <f>ROUND(SUM(K840:M840)*(R839-1),2)</f>
        <v>#N/A</v>
      </c>
      <c r="S840" s="42">
        <f>ROUND($B840*S$771*S839,2)</f>
        <v>0</v>
      </c>
      <c r="T840" s="42">
        <f>ROUND($B840*T$771,2)</f>
        <v>0.01</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4" t="str">
        <f>+F840</f>
        <v>HL12</v>
      </c>
    </row>
    <row r="841" spans="1:29" ht="13" x14ac:dyDescent="0.3">
      <c r="A841" s="9"/>
      <c r="B841" s="97">
        <v>-1</v>
      </c>
      <c r="D841" s="41"/>
      <c r="E841" s="80"/>
      <c r="F841" s="36"/>
      <c r="G841" s="98"/>
      <c r="H841" s="19"/>
      <c r="I841" s="19"/>
      <c r="J841" s="88"/>
      <c r="K841" s="42"/>
      <c r="L841" s="82"/>
      <c r="M841" s="42"/>
      <c r="N841" s="42"/>
      <c r="O841" s="42"/>
      <c r="P841" s="42"/>
      <c r="Q841" s="42"/>
      <c r="R841" s="38" t="e">
        <f>VLOOKUP((D842),'Pwr Factor'!$A$1:$B$52,2)</f>
        <v>#N/A</v>
      </c>
      <c r="S841" s="50">
        <v>0.1</v>
      </c>
      <c r="T841" s="42"/>
      <c r="U841" s="42"/>
      <c r="V841" s="42"/>
      <c r="W841" s="42"/>
      <c r="X841" s="42"/>
      <c r="Y841" s="42"/>
      <c r="Z841" s="42"/>
      <c r="AA841" s="42"/>
      <c r="AB841" s="19"/>
      <c r="AC841" s="94"/>
    </row>
    <row r="842" spans="1:29" ht="13" x14ac:dyDescent="0.3">
      <c r="A842" s="1" t="s">
        <v>164</v>
      </c>
      <c r="B842" s="103">
        <f>IF(AND('AES Indiana Bill Calc.'!$D$17="HL1",'AES Indiana Bill Calc.'!$D$18="Yes 10%",'AES Indiana Bill Calc.'!$D$20="Yes 2022"),'AES Indiana Bill Calc.'!$D$19,-1)</f>
        <v>-1</v>
      </c>
      <c r="C842" s="103">
        <f>MAX(E842,$C$769)</f>
        <v>2000</v>
      </c>
      <c r="D842" s="103" t="b">
        <f>IF(AND('AES Indiana Bill Calc.'!$D$17="HL1",'AES Indiana Bill Calc.'!$D$18="Yes 10%",'AES Indiana Bill Calc.'!$D$20="Yes 2022"),'AES Indiana Bill Calc.'!$D$22)</f>
        <v>0</v>
      </c>
      <c r="E842" s="103" t="b">
        <f>IF(AND('AES Indiana Bill Calc.'!$D$17="HL1",'AES Indiana Bill Calc.'!$D$18="Yes 10%",'AES Indiana Bill Calc.'!$D$20="Yes 2022"),'AES Indiana Bill Calc.'!$D$21)</f>
        <v>0</v>
      </c>
      <c r="F842" s="36" t="s">
        <v>239</v>
      </c>
      <c r="G842" s="92" t="e">
        <f>SUM(J842:M842,R842:AA842)</f>
        <v>#N/A</v>
      </c>
      <c r="H842" s="19" t="e">
        <f>IF(ISBLANK(B842),0,+#REF!/B842)</f>
        <v>#REF!</v>
      </c>
      <c r="I842" s="19"/>
      <c r="J842" s="88">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2" t="e">
        <f>ROUND(SUM(K842:M842)*(R841-1),2)</f>
        <v>#N/A</v>
      </c>
      <c r="S842" s="42">
        <f>ROUND($B842*S$771*S841,2)</f>
        <v>0</v>
      </c>
      <c r="T842" s="42">
        <f>ROUND($B842*T$771,2)</f>
        <v>0.01</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4" t="str">
        <f>+F842</f>
        <v>HL12</v>
      </c>
    </row>
    <row r="843" spans="1:29" ht="13" x14ac:dyDescent="0.3">
      <c r="A843" s="9"/>
      <c r="B843" s="97">
        <v>-1</v>
      </c>
      <c r="D843" s="41"/>
      <c r="E843" s="80"/>
      <c r="F843" s="36"/>
      <c r="G843" s="98"/>
      <c r="H843" s="19"/>
      <c r="I843" s="19"/>
      <c r="J843" s="88"/>
      <c r="K843" s="42"/>
      <c r="L843" s="82"/>
      <c r="M843" s="42"/>
      <c r="N843" s="42"/>
      <c r="O843" s="42"/>
      <c r="P843" s="42"/>
      <c r="Q843" s="42"/>
      <c r="R843" s="38" t="e">
        <f>VLOOKUP((D844),'Pwr Factor'!$A$1:$B$52,2)</f>
        <v>#N/A</v>
      </c>
      <c r="S843" s="50">
        <v>0</v>
      </c>
      <c r="T843" s="42"/>
      <c r="U843" s="42"/>
      <c r="V843" s="42"/>
      <c r="W843" s="42"/>
      <c r="X843" s="42"/>
      <c r="Y843" s="42"/>
      <c r="Z843" s="42"/>
      <c r="AA843" s="42"/>
      <c r="AB843" s="19"/>
      <c r="AC843" s="94"/>
    </row>
    <row r="844" spans="1:29" ht="13" x14ac:dyDescent="0.3">
      <c r="A844" s="1" t="s">
        <v>147</v>
      </c>
      <c r="B844" s="103">
        <f>IF(AND('AES Indiana Bill Calc.'!$D$17="HL1",'AES Indiana Bill Calc.'!$D$18="No",'AES Indiana Bill Calc.'!$D$20="Yes 2022"),'AES Indiana Bill Calc.'!$D$19,-1)</f>
        <v>-1</v>
      </c>
      <c r="C844" s="103">
        <f>MAX(E844,$C$769)</f>
        <v>2000</v>
      </c>
      <c r="D844" s="103" t="b">
        <f>IF(AND('AES Indiana Bill Calc.'!$D$17="HL1",'AES Indiana Bill Calc.'!$D$18="No",'AES Indiana Bill Calc.'!$D$20="Yes 2022"),'AES Indiana Bill Calc.'!$D$22)</f>
        <v>0</v>
      </c>
      <c r="E844" s="103" t="b">
        <f>IF(AND('AES Indiana Bill Calc.'!$D$17="HL1",'AES Indiana Bill Calc.'!$D$18="No",'AES Indiana Bill Calc.'!$D$20="Yes 2022"),'AES Indiana Bill Calc.'!$D$21)</f>
        <v>0</v>
      </c>
      <c r="F844" s="36" t="s">
        <v>239</v>
      </c>
      <c r="G844" s="92" t="e">
        <f>SUM(J844:M844,R844:AA844)</f>
        <v>#N/A</v>
      </c>
      <c r="H844" s="19" t="e">
        <f>IF(ISBLANK(B844),0,+#REF!/B844)</f>
        <v>#REF!</v>
      </c>
      <c r="I844" s="19"/>
      <c r="J844" s="88">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2" t="e">
        <f>ROUND(SUM(K844:M844)*(R843-1),2)</f>
        <v>#N/A</v>
      </c>
      <c r="S844" s="42">
        <f>ROUND($B844*S$771*S843,2)</f>
        <v>0</v>
      </c>
      <c r="T844" s="42">
        <f>ROUND($B844*T$771,2)</f>
        <v>0.01</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4" t="str">
        <f>+F844</f>
        <v>HL12</v>
      </c>
    </row>
    <row r="845" spans="1:29" ht="13" x14ac:dyDescent="0.3">
      <c r="A845" s="53"/>
      <c r="B845" s="97">
        <v>-1</v>
      </c>
      <c r="D845" s="41"/>
      <c r="E845" s="80"/>
      <c r="F845" s="36"/>
      <c r="G845" s="98"/>
      <c r="H845" s="19"/>
      <c r="I845" s="19"/>
      <c r="J845" s="88"/>
      <c r="K845" s="42"/>
      <c r="L845" s="82"/>
      <c r="M845" s="42"/>
      <c r="N845" s="42"/>
      <c r="O845" s="42"/>
      <c r="P845" s="42"/>
      <c r="Q845" s="42"/>
      <c r="R845" s="38" t="e">
        <f>VLOOKUP((D846),'Pwr Factor'!$A$1:$B$52,2)</f>
        <v>#N/A</v>
      </c>
      <c r="S845" s="50">
        <v>1</v>
      </c>
      <c r="T845" s="42"/>
      <c r="U845" s="42"/>
      <c r="V845" s="42"/>
      <c r="W845" s="42"/>
      <c r="X845" s="42"/>
      <c r="Y845" s="42"/>
      <c r="Z845" s="42"/>
      <c r="AA845" s="42"/>
      <c r="AB845" s="19"/>
      <c r="AC845" s="94"/>
    </row>
    <row r="846" spans="1:29" ht="13" x14ac:dyDescent="0.3">
      <c r="A846" s="1" t="s">
        <v>148</v>
      </c>
      <c r="B846" s="103">
        <f>IF(AND('AES Indiana Bill Calc.'!$D$17="HL1",'AES Indiana Bill Calc.'!$D$18="Yes 100%",'AES Indiana Bill Calc.'!$D$20="Yes 2023"),'AES Indiana Bill Calc.'!$D$19,-1)</f>
        <v>-1</v>
      </c>
      <c r="C846" s="103">
        <f>MAX(E846,$C$769)</f>
        <v>2000</v>
      </c>
      <c r="D846" s="103" t="b">
        <f>IF(AND('AES Indiana Bill Calc.'!$D$17="HL1",'AES Indiana Bill Calc.'!$D$18="Yes 100%",'AES Indiana Bill Calc.'!$D$20="Yes 2023"),'AES Indiana Bill Calc.'!$D$22)</f>
        <v>0</v>
      </c>
      <c r="E846" s="103" t="b">
        <f>IF(AND('AES Indiana Bill Calc.'!$D$17="HL1",'AES Indiana Bill Calc.'!$D$18="Yes 100%",'AES Indiana Bill Calc.'!$D$20="Yes 2023"),'AES Indiana Bill Calc.'!$D$21)</f>
        <v>0</v>
      </c>
      <c r="F846" s="36" t="s">
        <v>240</v>
      </c>
      <c r="G846" s="98" t="e">
        <v>#N/A</v>
      </c>
      <c r="H846" s="19" t="e">
        <f>IF(ISBLANK(B846),0,+#REF!/B846)</f>
        <v>#REF!</v>
      </c>
      <c r="I846" s="19"/>
      <c r="J846" s="88">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2" t="e">
        <f>ROUND(SUM(K846:M846)*(R845-1),2)</f>
        <v>#N/A</v>
      </c>
      <c r="S846" s="42">
        <f>ROUND($B846*S$771*S845,2)</f>
        <v>0</v>
      </c>
      <c r="T846" s="42">
        <f>ROUND($B846*T$771,2)</f>
        <v>0.01</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4" t="str">
        <f>+F846</f>
        <v>HL13</v>
      </c>
    </row>
    <row r="847" spans="1:29" ht="13" x14ac:dyDescent="0.3">
      <c r="A847" s="9"/>
      <c r="B847" s="97">
        <v>-1</v>
      </c>
      <c r="D847" s="41"/>
      <c r="E847" s="80"/>
      <c r="F847" s="36"/>
      <c r="G847" s="98"/>
      <c r="H847" s="19"/>
      <c r="I847" s="19"/>
      <c r="J847" s="88"/>
      <c r="K847" s="42"/>
      <c r="L847" s="82"/>
      <c r="M847" s="42"/>
      <c r="N847" s="42"/>
      <c r="O847" s="42"/>
      <c r="P847" s="42"/>
      <c r="Q847" s="42"/>
      <c r="R847" s="38" t="e">
        <f>VLOOKUP((D848),'Pwr Factor'!$A$1:$B$52,2)</f>
        <v>#N/A</v>
      </c>
      <c r="S847" s="50">
        <v>0.5</v>
      </c>
      <c r="T847" s="42"/>
      <c r="U847" s="42"/>
      <c r="V847" s="42"/>
      <c r="W847" s="42"/>
      <c r="X847" s="42"/>
      <c r="Y847" s="42"/>
      <c r="Z847" s="42"/>
      <c r="AA847" s="42"/>
      <c r="AB847" s="19"/>
      <c r="AC847" s="94"/>
    </row>
    <row r="848" spans="1:29" ht="13" x14ac:dyDescent="0.3">
      <c r="A848" s="1" t="s">
        <v>149</v>
      </c>
      <c r="B848" s="103">
        <f>IF(AND('AES Indiana Bill Calc.'!$D$17="HL1",'AES Indiana Bill Calc.'!$D$18="Yes 50%",'AES Indiana Bill Calc.'!$D$20="Yes 2023"),'AES Indiana Bill Calc.'!$D$19,-1)</f>
        <v>-1</v>
      </c>
      <c r="C848" s="103">
        <f>MAX(E848,$C$769)</f>
        <v>2000</v>
      </c>
      <c r="D848" s="103" t="b">
        <f>IF(AND('AES Indiana Bill Calc.'!$D$17="HL1",'AES Indiana Bill Calc.'!$D$18="Yes 50%",'AES Indiana Bill Calc.'!$D$20="Yes 2023"),'AES Indiana Bill Calc.'!$D$22)</f>
        <v>0</v>
      </c>
      <c r="E848" s="103" t="b">
        <f>IF(AND('AES Indiana Bill Calc.'!$D$17="HL1",'AES Indiana Bill Calc.'!$D$18="Yes 50%",'AES Indiana Bill Calc.'!$D$20="Yes 2023"),'AES Indiana Bill Calc.'!$D$21)</f>
        <v>0</v>
      </c>
      <c r="F848" s="36" t="s">
        <v>240</v>
      </c>
      <c r="G848" s="92" t="e">
        <f>SUM(J848:M848,R848:AA848)</f>
        <v>#N/A</v>
      </c>
      <c r="H848" s="19" t="e">
        <f>IF(ISBLANK(B848),0,+#REF!/B848)</f>
        <v>#REF!</v>
      </c>
      <c r="I848" s="19"/>
      <c r="J848" s="88">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2" t="e">
        <f>ROUND(SUM(K848:M848)*(R847-1),2)</f>
        <v>#N/A</v>
      </c>
      <c r="S848" s="42">
        <f>ROUND($B848*S$771*S847,2)</f>
        <v>0</v>
      </c>
      <c r="T848" s="42">
        <f>ROUND($B848*T$771,2)</f>
        <v>0.01</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4" t="str">
        <f>+F848</f>
        <v>HL13</v>
      </c>
    </row>
    <row r="849" spans="1:29" ht="13" x14ac:dyDescent="0.3">
      <c r="A849" s="9"/>
      <c r="B849" s="97">
        <v>-1</v>
      </c>
      <c r="D849" s="41"/>
      <c r="E849" s="80"/>
      <c r="F849" s="36"/>
      <c r="G849" s="98"/>
      <c r="H849" s="19"/>
      <c r="I849" s="19"/>
      <c r="J849" s="88"/>
      <c r="K849" s="42"/>
      <c r="L849" s="82"/>
      <c r="M849" s="42"/>
      <c r="N849" s="42"/>
      <c r="O849" s="42"/>
      <c r="P849" s="42"/>
      <c r="Q849" s="42"/>
      <c r="R849" s="38" t="e">
        <f>VLOOKUP((D850),'Pwr Factor'!$A$1:$B$52,2)</f>
        <v>#N/A</v>
      </c>
      <c r="S849" s="50">
        <v>0.25</v>
      </c>
      <c r="T849" s="42"/>
      <c r="U849" s="42"/>
      <c r="V849" s="42"/>
      <c r="W849" s="42"/>
      <c r="X849" s="42"/>
      <c r="Y849" s="42"/>
      <c r="Z849" s="42"/>
      <c r="AA849" s="42"/>
      <c r="AB849" s="19"/>
      <c r="AC849" s="94"/>
    </row>
    <row r="850" spans="1:29" ht="13" x14ac:dyDescent="0.3">
      <c r="A850" s="1" t="s">
        <v>150</v>
      </c>
      <c r="B850" s="103">
        <f>IF(AND('AES Indiana Bill Calc.'!$D$17="HL1",'AES Indiana Bill Calc.'!$D$18="Yes 25%",'AES Indiana Bill Calc.'!$D$20="Yes 2023"),'AES Indiana Bill Calc.'!$D$19,-1)</f>
        <v>-1</v>
      </c>
      <c r="C850" s="103">
        <f>MAX(E850,$C$769)</f>
        <v>2000</v>
      </c>
      <c r="D850" s="103" t="b">
        <f>IF(AND('AES Indiana Bill Calc.'!$D$17="HL1",'AES Indiana Bill Calc.'!$D$18="Yes 25%",'AES Indiana Bill Calc.'!$D$20="Yes 2023"),'AES Indiana Bill Calc.'!$D$22)</f>
        <v>0</v>
      </c>
      <c r="E850" s="103" t="b">
        <f>IF(AND('AES Indiana Bill Calc.'!$D$17="HL1",'AES Indiana Bill Calc.'!$D$18="Yes 25%",'AES Indiana Bill Calc.'!$D$20="Yes 2023"),'AES Indiana Bill Calc.'!$D$21)</f>
        <v>0</v>
      </c>
      <c r="F850" s="36" t="s">
        <v>240</v>
      </c>
      <c r="G850" s="92" t="e">
        <f>SUM(J850:M850,R850:AA850)</f>
        <v>#N/A</v>
      </c>
      <c r="H850" s="19" t="e">
        <f>IF(ISBLANK(B850),0,+#REF!/B850)</f>
        <v>#REF!</v>
      </c>
      <c r="I850" s="19"/>
      <c r="J850" s="88">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2" t="e">
        <f>ROUND(SUM(K850:M850)*(R849-1),2)</f>
        <v>#N/A</v>
      </c>
      <c r="S850" s="42">
        <f>ROUND($B850*S$771*S849,2)</f>
        <v>0</v>
      </c>
      <c r="T850" s="42">
        <f>ROUND($B850*T$771,2)</f>
        <v>0.01</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4" t="str">
        <f>+F850</f>
        <v>HL13</v>
      </c>
    </row>
    <row r="851" spans="1:29" ht="13" x14ac:dyDescent="0.3">
      <c r="A851" s="9"/>
      <c r="B851" s="97">
        <v>-1</v>
      </c>
      <c r="D851" s="41"/>
      <c r="E851" s="80"/>
      <c r="F851" s="36"/>
      <c r="G851" s="98"/>
      <c r="H851" s="19"/>
      <c r="I851" s="19"/>
      <c r="J851" s="88"/>
      <c r="K851" s="42"/>
      <c r="L851" s="82"/>
      <c r="M851" s="42"/>
      <c r="N851" s="42"/>
      <c r="O851" s="42"/>
      <c r="P851" s="42"/>
      <c r="Q851" s="42"/>
      <c r="R851" s="38" t="e">
        <f>VLOOKUP((D852),'Pwr Factor'!$A$1:$B$52,2)</f>
        <v>#N/A</v>
      </c>
      <c r="S851" s="50">
        <v>0.1</v>
      </c>
      <c r="T851" s="42"/>
      <c r="U851" s="42"/>
      <c r="V851" s="42"/>
      <c r="W851" s="42"/>
      <c r="X851" s="42"/>
      <c r="Y851" s="42"/>
      <c r="Z851" s="42"/>
      <c r="AA851" s="42"/>
      <c r="AB851" s="19"/>
      <c r="AC851" s="94"/>
    </row>
    <row r="852" spans="1:29" ht="13" x14ac:dyDescent="0.3">
      <c r="A852" s="1" t="s">
        <v>164</v>
      </c>
      <c r="B852" s="103">
        <f>IF(AND('AES Indiana Bill Calc.'!$D$17="HL1",'AES Indiana Bill Calc.'!$D$18="Yes 10%",'AES Indiana Bill Calc.'!$D$20="Yes 2023"),'AES Indiana Bill Calc.'!$D$19,-1)</f>
        <v>-1</v>
      </c>
      <c r="C852" s="103">
        <f>MAX(E852,$C$769)</f>
        <v>2000</v>
      </c>
      <c r="D852" s="103" t="b">
        <f>IF(AND('AES Indiana Bill Calc.'!$D$17="HL1",'AES Indiana Bill Calc.'!$D$18="Yes 10%",'AES Indiana Bill Calc.'!$D$20="Yes 2023"),'AES Indiana Bill Calc.'!$D$22)</f>
        <v>0</v>
      </c>
      <c r="E852" s="103" t="b">
        <f>IF(AND('AES Indiana Bill Calc.'!$D$17="HL1",'AES Indiana Bill Calc.'!$D$18="Yes 10%",'AES Indiana Bill Calc.'!$D$20="Yes 2023"),'AES Indiana Bill Calc.'!$D$21)</f>
        <v>0</v>
      </c>
      <c r="F852" s="36" t="s">
        <v>240</v>
      </c>
      <c r="G852" s="92" t="e">
        <f>SUM(J852:M852,R852:AA852)</f>
        <v>#N/A</v>
      </c>
      <c r="H852" s="19" t="e">
        <f>IF(ISBLANK(B852),0,+#REF!/B852)</f>
        <v>#REF!</v>
      </c>
      <c r="I852" s="19"/>
      <c r="J852" s="88">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2" t="e">
        <f>ROUND(SUM(K852:M852)*(R851-1),2)</f>
        <v>#N/A</v>
      </c>
      <c r="S852" s="42">
        <f>ROUND($B852*S$771*S851,2)</f>
        <v>0</v>
      </c>
      <c r="T852" s="42">
        <f>ROUND($B852*T$771,2)</f>
        <v>0.01</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4" t="str">
        <f>+F852</f>
        <v>HL13</v>
      </c>
    </row>
    <row r="853" spans="1:29" ht="13" x14ac:dyDescent="0.3">
      <c r="A853" s="9"/>
      <c r="B853" s="97">
        <v>-1</v>
      </c>
      <c r="D853" s="41"/>
      <c r="E853" s="80"/>
      <c r="F853" s="36"/>
      <c r="G853" s="98"/>
      <c r="H853" s="19"/>
      <c r="I853" s="19"/>
      <c r="J853" s="88"/>
      <c r="K853" s="42"/>
      <c r="L853" s="82"/>
      <c r="M853" s="42"/>
      <c r="N853" s="42"/>
      <c r="O853" s="42"/>
      <c r="P853" s="42"/>
      <c r="Q853" s="42"/>
      <c r="R853" s="38" t="e">
        <f>VLOOKUP((D854),'Pwr Factor'!$A$1:$B$52,2)</f>
        <v>#N/A</v>
      </c>
      <c r="S853" s="50">
        <v>0</v>
      </c>
      <c r="T853" s="42"/>
      <c r="U853" s="42"/>
      <c r="V853" s="42"/>
      <c r="W853" s="42"/>
      <c r="X853" s="42"/>
      <c r="Y853" s="42"/>
      <c r="Z853" s="42"/>
      <c r="AA853" s="42"/>
      <c r="AB853" s="19"/>
      <c r="AC853" s="94"/>
    </row>
    <row r="854" spans="1:29" ht="13" x14ac:dyDescent="0.3">
      <c r="A854" s="1" t="s">
        <v>147</v>
      </c>
      <c r="B854" s="103">
        <f>IF(AND('AES Indiana Bill Calc.'!$D$17="HL1",'AES Indiana Bill Calc.'!$D$18="No",'AES Indiana Bill Calc.'!$D$20="Yes 2023"),'AES Indiana Bill Calc.'!$D$19,-1)</f>
        <v>-1</v>
      </c>
      <c r="C854" s="103">
        <f>MAX(E854,$C$769)</f>
        <v>2000</v>
      </c>
      <c r="D854" s="103" t="b">
        <f>IF(AND('AES Indiana Bill Calc.'!$D$17="HL1",'AES Indiana Bill Calc.'!$D$18="No",'AES Indiana Bill Calc.'!$D$20="Yes 2023"),'AES Indiana Bill Calc.'!$D$22)</f>
        <v>0</v>
      </c>
      <c r="E854" s="103" t="b">
        <f>IF(AND('AES Indiana Bill Calc.'!$D$17="HL1",'AES Indiana Bill Calc.'!$D$18="No",'AES Indiana Bill Calc.'!$D$20="Yes 2023"),'AES Indiana Bill Calc.'!$D$21)</f>
        <v>0</v>
      </c>
      <c r="F854" s="36" t="s">
        <v>240</v>
      </c>
      <c r="G854" s="92" t="e">
        <f>SUM(J854:M854,R854:AA854)</f>
        <v>#N/A</v>
      </c>
      <c r="H854" s="19" t="e">
        <f>IF(ISBLANK(B854),0,+#REF!/B854)</f>
        <v>#REF!</v>
      </c>
      <c r="I854" s="19"/>
      <c r="J854" s="88">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2" t="e">
        <f>ROUND(SUM(K854:M854)*(R853-1),2)</f>
        <v>#N/A</v>
      </c>
      <c r="S854" s="42">
        <f>ROUND($B854*S$771*S853,2)</f>
        <v>0</v>
      </c>
      <c r="T854" s="42">
        <f>ROUND($B854*T$771,2)</f>
        <v>0.01</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4" t="str">
        <f>+F854</f>
        <v>HL13</v>
      </c>
    </row>
    <row r="855" spans="1:29" ht="13" x14ac:dyDescent="0.3">
      <c r="A855" s="53"/>
      <c r="B855" s="97">
        <v>-1</v>
      </c>
      <c r="D855" s="41"/>
      <c r="E855" s="80"/>
      <c r="F855" s="36"/>
      <c r="G855" s="98"/>
      <c r="H855" s="19"/>
      <c r="I855" s="19"/>
      <c r="J855" s="88"/>
      <c r="K855" s="42"/>
      <c r="L855" s="82"/>
      <c r="M855" s="42"/>
      <c r="N855" s="42"/>
      <c r="O855" s="42"/>
      <c r="P855" s="42"/>
      <c r="Q855" s="42"/>
      <c r="R855" s="38" t="e">
        <f>VLOOKUP((D856),'Pwr Factor'!$A$1:$B$52,2)</f>
        <v>#N/A</v>
      </c>
      <c r="S855" s="50">
        <v>1</v>
      </c>
      <c r="T855" s="42"/>
      <c r="U855" s="42"/>
      <c r="V855" s="42"/>
      <c r="W855" s="42"/>
      <c r="X855" s="42"/>
      <c r="Y855" s="42"/>
      <c r="Z855" s="42"/>
      <c r="AA855" s="42"/>
      <c r="AB855" s="19"/>
      <c r="AC855" s="94"/>
    </row>
    <row r="856" spans="1:29" ht="13" x14ac:dyDescent="0.3">
      <c r="A856" s="1" t="s">
        <v>148</v>
      </c>
      <c r="B856" s="103">
        <f>IF(AND('AES Indiana Bill Calc.'!$D$17="HL1",'AES Indiana Bill Calc.'!$D$18="Yes 100%",'AES Indiana Bill Calc.'!$D$20="Yes 2024"),'AES Indiana Bill Calc.'!$D$19,-1)</f>
        <v>-1</v>
      </c>
      <c r="C856" s="103">
        <f>MAX(E856,$C$769)</f>
        <v>2000</v>
      </c>
      <c r="D856" s="103" t="b">
        <f>IF(AND('AES Indiana Bill Calc.'!$D$17="HL1",'AES Indiana Bill Calc.'!$D$18="Yes 100%",'AES Indiana Bill Calc.'!$D$20="Yes 2024"),'AES Indiana Bill Calc.'!$D$22)</f>
        <v>0</v>
      </c>
      <c r="E856" s="103" t="b">
        <f>IF(AND('AES Indiana Bill Calc.'!$D$17="HL1",'AES Indiana Bill Calc.'!$D$18="Yes 100%",'AES Indiana Bill Calc.'!$D$20="Yes 2024"),'AES Indiana Bill Calc.'!$D$21)</f>
        <v>0</v>
      </c>
      <c r="F856" s="36" t="s">
        <v>310</v>
      </c>
      <c r="G856" s="98" t="e">
        <v>#N/A</v>
      </c>
      <c r="H856" s="19" t="e">
        <f>IF(ISBLANK(B856),0,+#REF!/B856)</f>
        <v>#REF!</v>
      </c>
      <c r="I856" s="19"/>
      <c r="J856" s="88">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2" t="e">
        <f>ROUND(SUM(K856:M856)*(R855-1),2)</f>
        <v>#N/A</v>
      </c>
      <c r="S856" s="42">
        <f>ROUND($B856*S$771*S855,2)</f>
        <v>0</v>
      </c>
      <c r="T856" s="42">
        <f>ROUND($B856*T$771,2)</f>
        <v>0.01</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4" t="str">
        <f>+F856</f>
        <v>HL14</v>
      </c>
    </row>
    <row r="857" spans="1:29" ht="13" x14ac:dyDescent="0.3">
      <c r="A857" s="9"/>
      <c r="B857" s="97">
        <v>-1</v>
      </c>
      <c r="D857" s="41"/>
      <c r="E857" s="80"/>
      <c r="F857" s="36"/>
      <c r="G857" s="98"/>
      <c r="H857" s="19"/>
      <c r="I857" s="19"/>
      <c r="J857" s="88"/>
      <c r="K857" s="42"/>
      <c r="L857" s="82"/>
      <c r="M857" s="42"/>
      <c r="N857" s="42"/>
      <c r="O857" s="42"/>
      <c r="P857" s="42"/>
      <c r="Q857" s="42"/>
      <c r="R857" s="38" t="e">
        <f>VLOOKUP((D858),'Pwr Factor'!$A$1:$B$52,2)</f>
        <v>#N/A</v>
      </c>
      <c r="S857" s="50">
        <v>0.5</v>
      </c>
      <c r="T857" s="42"/>
      <c r="U857" s="42"/>
      <c r="V857" s="42"/>
      <c r="W857" s="42"/>
      <c r="X857" s="42"/>
      <c r="Y857" s="42"/>
      <c r="Z857" s="42"/>
      <c r="AA857" s="42"/>
      <c r="AB857" s="19"/>
      <c r="AC857" s="94"/>
    </row>
    <row r="858" spans="1:29" ht="13" x14ac:dyDescent="0.3">
      <c r="A858" s="1" t="s">
        <v>149</v>
      </c>
      <c r="B858" s="103">
        <f>IF(AND('AES Indiana Bill Calc.'!$D$17="HL1",'AES Indiana Bill Calc.'!$D$18="Yes 50%",'AES Indiana Bill Calc.'!$D$20="Yes 2024"),'AES Indiana Bill Calc.'!$D$19,-1)</f>
        <v>-1</v>
      </c>
      <c r="C858" s="103">
        <f>MAX(E858,$C$769)</f>
        <v>2000</v>
      </c>
      <c r="D858" s="103" t="b">
        <f>IF(AND('AES Indiana Bill Calc.'!$D$17="HL1",'AES Indiana Bill Calc.'!$D$18="Yes 50%",'AES Indiana Bill Calc.'!$D$20="Yes 2024"),'AES Indiana Bill Calc.'!$D$22)</f>
        <v>0</v>
      </c>
      <c r="E858" s="103" t="b">
        <f>IF(AND('AES Indiana Bill Calc.'!$D$17="HL1",'AES Indiana Bill Calc.'!$D$18="Yes 50%",'AES Indiana Bill Calc.'!$D$20="Yes 2024"),'AES Indiana Bill Calc.'!$D$21)</f>
        <v>0</v>
      </c>
      <c r="F858" s="36" t="s">
        <v>310</v>
      </c>
      <c r="G858" s="92" t="e">
        <f>SUM(J858:M858,R858:AA858)</f>
        <v>#N/A</v>
      </c>
      <c r="H858" s="19" t="e">
        <f>IF(ISBLANK(B858),0,+#REF!/B858)</f>
        <v>#REF!</v>
      </c>
      <c r="I858" s="19"/>
      <c r="J858" s="88">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2" t="e">
        <f>ROUND(SUM(K858:M858)*(R857-1),2)</f>
        <v>#N/A</v>
      </c>
      <c r="S858" s="42">
        <f>ROUND($B858*S$771*S857,2)</f>
        <v>0</v>
      </c>
      <c r="T858" s="42">
        <f>ROUND($B858*T$771,2)</f>
        <v>0.01</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4" t="str">
        <f>+F858</f>
        <v>HL14</v>
      </c>
    </row>
    <row r="859" spans="1:29" ht="13" x14ac:dyDescent="0.3">
      <c r="A859" s="9"/>
      <c r="B859" s="97">
        <v>-1</v>
      </c>
      <c r="D859" s="41"/>
      <c r="E859" s="80"/>
      <c r="F859" s="36"/>
      <c r="G859" s="98"/>
      <c r="H859" s="19"/>
      <c r="I859" s="19"/>
      <c r="J859" s="88"/>
      <c r="K859" s="42"/>
      <c r="L859" s="82"/>
      <c r="M859" s="42"/>
      <c r="N859" s="42"/>
      <c r="O859" s="42"/>
      <c r="P859" s="42"/>
      <c r="Q859" s="42"/>
      <c r="R859" s="38" t="e">
        <f>VLOOKUP((D860),'Pwr Factor'!$A$1:$B$52,2)</f>
        <v>#N/A</v>
      </c>
      <c r="S859" s="50">
        <v>0.25</v>
      </c>
      <c r="T859" s="42"/>
      <c r="U859" s="42"/>
      <c r="V859" s="42"/>
      <c r="W859" s="42"/>
      <c r="X859" s="42"/>
      <c r="Y859" s="42"/>
      <c r="Z859" s="42"/>
      <c r="AA859" s="42"/>
      <c r="AB859" s="19"/>
      <c r="AC859" s="94"/>
    </row>
    <row r="860" spans="1:29" ht="13" x14ac:dyDescent="0.3">
      <c r="A860" s="1" t="s">
        <v>150</v>
      </c>
      <c r="B860" s="103">
        <f>IF(AND('AES Indiana Bill Calc.'!$D$17="HL1",'AES Indiana Bill Calc.'!$D$18="Yes 25%",'AES Indiana Bill Calc.'!$D$20="Yes 2024"),'AES Indiana Bill Calc.'!$D$19,-1)</f>
        <v>-1</v>
      </c>
      <c r="C860" s="103">
        <f>MAX(E860,$C$769)</f>
        <v>2000</v>
      </c>
      <c r="D860" s="103" t="b">
        <f>IF(AND('AES Indiana Bill Calc.'!$D$17="HL1",'AES Indiana Bill Calc.'!$D$18="Yes 25%",'AES Indiana Bill Calc.'!$D$20="Yes 2024"),'AES Indiana Bill Calc.'!$D$22)</f>
        <v>0</v>
      </c>
      <c r="E860" s="103" t="b">
        <f>IF(AND('AES Indiana Bill Calc.'!$D$17="HL1",'AES Indiana Bill Calc.'!$D$18="Yes 25%",'AES Indiana Bill Calc.'!$D$20="Yes 2024"),'AES Indiana Bill Calc.'!$D$21)</f>
        <v>0</v>
      </c>
      <c r="F860" s="36" t="s">
        <v>310</v>
      </c>
      <c r="G860" s="92" t="e">
        <f>SUM(J860:M860,R860:AA860)</f>
        <v>#N/A</v>
      </c>
      <c r="H860" s="19" t="e">
        <f>IF(ISBLANK(B860),0,+#REF!/B860)</f>
        <v>#REF!</v>
      </c>
      <c r="I860" s="19"/>
      <c r="J860" s="88">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2" t="e">
        <f>ROUND(SUM(K860:M860)*(R859-1),2)</f>
        <v>#N/A</v>
      </c>
      <c r="S860" s="42">
        <f>ROUND($B860*S$771*S859,2)</f>
        <v>0</v>
      </c>
      <c r="T860" s="42">
        <f>ROUND($B860*T$771,2)</f>
        <v>0.01</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4" t="str">
        <f>+F860</f>
        <v>HL14</v>
      </c>
    </row>
    <row r="861" spans="1:29" ht="13" x14ac:dyDescent="0.3">
      <c r="A861" s="9"/>
      <c r="B861" s="97">
        <v>-1</v>
      </c>
      <c r="D861" s="41"/>
      <c r="E861" s="80"/>
      <c r="F861" s="36"/>
      <c r="G861" s="98"/>
      <c r="H861" s="19"/>
      <c r="I861" s="19"/>
      <c r="J861" s="88"/>
      <c r="K861" s="42"/>
      <c r="L861" s="82"/>
      <c r="M861" s="42"/>
      <c r="N861" s="42"/>
      <c r="O861" s="42"/>
      <c r="P861" s="42"/>
      <c r="Q861" s="42"/>
      <c r="R861" s="38" t="e">
        <f>VLOOKUP((D862),'Pwr Factor'!$A$1:$B$52,2)</f>
        <v>#N/A</v>
      </c>
      <c r="S861" s="50">
        <v>0.1</v>
      </c>
      <c r="T861" s="42"/>
      <c r="U861" s="42"/>
      <c r="V861" s="42"/>
      <c r="W861" s="42"/>
      <c r="X861" s="42"/>
      <c r="Y861" s="42"/>
      <c r="Z861" s="42"/>
      <c r="AA861" s="42"/>
      <c r="AB861" s="19"/>
      <c r="AC861" s="94"/>
    </row>
    <row r="862" spans="1:29" ht="13" x14ac:dyDescent="0.3">
      <c r="A862" s="1" t="s">
        <v>164</v>
      </c>
      <c r="B862" s="103">
        <f>IF(AND('AES Indiana Bill Calc.'!$D$17="HL1",'AES Indiana Bill Calc.'!$D$18="Yes 10%",'AES Indiana Bill Calc.'!$D$20="Yes 2024"),'AES Indiana Bill Calc.'!$D$19,-1)</f>
        <v>-1</v>
      </c>
      <c r="C862" s="103">
        <f>MAX(E862,$C$769)</f>
        <v>2000</v>
      </c>
      <c r="D862" s="103" t="b">
        <f>IF(AND('AES Indiana Bill Calc.'!$D$17="HL1",'AES Indiana Bill Calc.'!$D$18="Yes 10%",'AES Indiana Bill Calc.'!$D$20="Yes 2024"),'AES Indiana Bill Calc.'!$D$22)</f>
        <v>0</v>
      </c>
      <c r="E862" s="103" t="b">
        <f>IF(AND('AES Indiana Bill Calc.'!$D$17="HL1",'AES Indiana Bill Calc.'!$D$18="Yes 10%",'AES Indiana Bill Calc.'!$D$20="Yes 2024"),'AES Indiana Bill Calc.'!$D$21)</f>
        <v>0</v>
      </c>
      <c r="F862" s="36" t="s">
        <v>310</v>
      </c>
      <c r="G862" s="92" t="e">
        <f>SUM(J862:M862,R862:AA862)</f>
        <v>#N/A</v>
      </c>
      <c r="H862" s="19" t="e">
        <f>IF(ISBLANK(B862),0,+#REF!/B862)</f>
        <v>#REF!</v>
      </c>
      <c r="I862" s="19"/>
      <c r="J862" s="88">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2" t="e">
        <f>ROUND(SUM(K862:M862)*(R861-1),2)</f>
        <v>#N/A</v>
      </c>
      <c r="S862" s="42">
        <f>ROUND($B862*S$771*S861,2)</f>
        <v>0</v>
      </c>
      <c r="T862" s="42">
        <f>ROUND($B862*T$771,2)</f>
        <v>0.01</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4" t="str">
        <f>+F862</f>
        <v>HL14</v>
      </c>
    </row>
    <row r="863" spans="1:29" ht="13" x14ac:dyDescent="0.3">
      <c r="A863" s="9"/>
      <c r="B863" s="97">
        <v>-1</v>
      </c>
      <c r="D863" s="41"/>
      <c r="E863" s="80"/>
      <c r="F863" s="36"/>
      <c r="G863" s="98"/>
      <c r="H863" s="19"/>
      <c r="I863" s="19"/>
      <c r="J863" s="88"/>
      <c r="K863" s="42"/>
      <c r="L863" s="82"/>
      <c r="M863" s="42"/>
      <c r="N863" s="42"/>
      <c r="O863" s="42"/>
      <c r="P863" s="42"/>
      <c r="Q863" s="42"/>
      <c r="R863" s="38" t="e">
        <f>VLOOKUP((D864),'Pwr Factor'!$A$1:$B$52,2)</f>
        <v>#N/A</v>
      </c>
      <c r="S863" s="50">
        <v>0</v>
      </c>
      <c r="T863" s="42"/>
      <c r="U863" s="42"/>
      <c r="V863" s="42"/>
      <c r="W863" s="42"/>
      <c r="X863" s="42"/>
      <c r="Y863" s="42"/>
      <c r="Z863" s="42"/>
      <c r="AA863" s="42"/>
      <c r="AB863" s="19"/>
      <c r="AC863" s="94"/>
    </row>
    <row r="864" spans="1:29" ht="13" x14ac:dyDescent="0.3">
      <c r="A864" s="1" t="s">
        <v>147</v>
      </c>
      <c r="B864" s="103">
        <f>IF(AND('AES Indiana Bill Calc.'!$D$17="HL1",'AES Indiana Bill Calc.'!$D$18="No",'AES Indiana Bill Calc.'!$D$20="Yes 2024"),'AES Indiana Bill Calc.'!$D$19,-1)</f>
        <v>-1</v>
      </c>
      <c r="C864" s="103">
        <f>MAX(E864,$C$769)</f>
        <v>2000</v>
      </c>
      <c r="D864" s="103" t="b">
        <f>IF(AND('AES Indiana Bill Calc.'!$D$17="HL1",'AES Indiana Bill Calc.'!$D$18="No",'AES Indiana Bill Calc.'!$D$20="Yes 2024"),'AES Indiana Bill Calc.'!$D$22)</f>
        <v>0</v>
      </c>
      <c r="E864" s="103" t="b">
        <f>IF(AND('AES Indiana Bill Calc.'!$D$17="HL1",'AES Indiana Bill Calc.'!$D$18="No",'AES Indiana Bill Calc.'!$D$20="Yes 2024"),'AES Indiana Bill Calc.'!$D$21)</f>
        <v>0</v>
      </c>
      <c r="F864" s="36" t="s">
        <v>310</v>
      </c>
      <c r="G864" s="92" t="e">
        <f>SUM(J864:M864,R864:AA864)</f>
        <v>#N/A</v>
      </c>
      <c r="H864" s="19" t="e">
        <f>IF(ISBLANK(B864),0,+#REF!/B864)</f>
        <v>#REF!</v>
      </c>
      <c r="I864" s="19"/>
      <c r="J864" s="88">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2" t="e">
        <f>ROUND(SUM(K864:M864)*(R863-1),2)</f>
        <v>#N/A</v>
      </c>
      <c r="S864" s="42">
        <f>ROUND($B864*S$771*S863,2)</f>
        <v>0</v>
      </c>
      <c r="T864" s="42">
        <f>ROUND($B864*T$771,2)</f>
        <v>0.01</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4" t="str">
        <f>+F864</f>
        <v>HL14</v>
      </c>
    </row>
    <row r="865" spans="1:29" ht="13" x14ac:dyDescent="0.3">
      <c r="A865" s="53"/>
      <c r="B865" s="103">
        <v>-1</v>
      </c>
      <c r="C865" s="9"/>
      <c r="D865" s="8"/>
      <c r="F865" s="36"/>
      <c r="G865" s="42"/>
      <c r="H865" s="19"/>
      <c r="J865" s="88"/>
      <c r="K865" s="42"/>
      <c r="L865" s="82"/>
      <c r="M865" s="42"/>
      <c r="N865" s="42"/>
      <c r="O865" s="42"/>
      <c r="P865" s="42"/>
      <c r="Q865" s="42"/>
      <c r="R865" s="82"/>
      <c r="S865" s="42"/>
      <c r="T865" s="42"/>
      <c r="U865" s="42"/>
      <c r="V865" s="41"/>
      <c r="W865" s="42"/>
      <c r="X865" s="42"/>
      <c r="Y865" s="42"/>
      <c r="Z865" s="42"/>
      <c r="AA865" s="42"/>
      <c r="AB865" s="19"/>
      <c r="AC865" s="67"/>
    </row>
    <row r="866" spans="1:29" x14ac:dyDescent="0.25">
      <c r="B866" s="103">
        <v>-1</v>
      </c>
      <c r="C866" s="9"/>
      <c r="D866" s="8"/>
      <c r="R866">
        <v>6571.2</v>
      </c>
      <c r="V866" s="19">
        <f>+T8</f>
        <v>0</v>
      </c>
      <c r="W866" s="6" t="s">
        <v>158</v>
      </c>
      <c r="AB866" s="19">
        <f>+AB$876-V$876+V866</f>
        <v>2.7160000000000005E-3</v>
      </c>
    </row>
    <row r="867" spans="1:29" x14ac:dyDescent="0.25">
      <c r="B867" s="103">
        <v>-1</v>
      </c>
      <c r="C867" s="9"/>
      <c r="D867" s="8"/>
      <c r="L867" t="s">
        <v>193</v>
      </c>
      <c r="M867" t="s">
        <v>193</v>
      </c>
      <c r="S867" s="6"/>
      <c r="T867" s="6"/>
      <c r="U867" s="6"/>
      <c r="V867" s="27">
        <f>+$T$12</f>
        <v>0</v>
      </c>
      <c r="W867" s="6" t="s">
        <v>154</v>
      </c>
      <c r="X867" s="6"/>
      <c r="Y867" s="6"/>
      <c r="Z867" s="6"/>
      <c r="AA867" s="6"/>
      <c r="AB867" s="19" t="e">
        <f>+AB$876-V$876+#REF!</f>
        <v>#REF!</v>
      </c>
    </row>
    <row r="868" spans="1:29" x14ac:dyDescent="0.25">
      <c r="B868" s="103">
        <v>-1</v>
      </c>
      <c r="C868" s="9"/>
      <c r="D868" s="8"/>
      <c r="S868" s="6"/>
      <c r="T868" s="6"/>
      <c r="U868" s="6"/>
      <c r="V868" s="27">
        <f>+$T$14</f>
        <v>0</v>
      </c>
      <c r="W868" s="6" t="s">
        <v>155</v>
      </c>
      <c r="X868" s="6"/>
      <c r="Y868" s="6"/>
      <c r="Z868" s="6"/>
      <c r="AA868" s="6"/>
      <c r="AB868" s="19">
        <f>+AB$876-V$876+V867</f>
        <v>2.7160000000000005E-3</v>
      </c>
    </row>
    <row r="869" spans="1:29" x14ac:dyDescent="0.25">
      <c r="B869" s="103">
        <v>-1</v>
      </c>
      <c r="C869" s="9"/>
      <c r="D869" s="8"/>
      <c r="S869" s="6"/>
      <c r="T869" s="6"/>
      <c r="U869" s="6"/>
      <c r="V869" s="27">
        <f>$T$16</f>
        <v>-4.3999999999999999E-5</v>
      </c>
      <c r="W869" s="6" t="s">
        <v>156</v>
      </c>
      <c r="X869" s="6"/>
      <c r="Y869" s="6"/>
      <c r="Z869" s="6"/>
      <c r="AA869" s="6"/>
      <c r="AB869" s="19"/>
    </row>
    <row r="870" spans="1:29" x14ac:dyDescent="0.25">
      <c r="B870" s="103">
        <v>-1</v>
      </c>
      <c r="C870" s="9"/>
      <c r="D870" s="8"/>
      <c r="S870" s="6"/>
      <c r="T870" s="6"/>
      <c r="U870" s="6"/>
      <c r="V870" s="27">
        <f>$T$19</f>
        <v>1.15E-4</v>
      </c>
      <c r="W870" s="6" t="s">
        <v>157</v>
      </c>
      <c r="X870" s="6"/>
      <c r="Y870" s="6"/>
      <c r="Z870" s="6"/>
      <c r="AA870" s="6"/>
      <c r="AB870" s="19"/>
    </row>
    <row r="871" spans="1:29" x14ac:dyDescent="0.25">
      <c r="B871" s="103">
        <v>-1</v>
      </c>
      <c r="C871" s="9"/>
      <c r="D871" s="8"/>
      <c r="S871" s="6"/>
      <c r="T871" s="6"/>
      <c r="U871" s="6"/>
      <c r="V871" s="27">
        <f>$T$21</f>
        <v>4.6099999999999998E-4</v>
      </c>
      <c r="W871" s="6" t="s">
        <v>158</v>
      </c>
      <c r="X871" s="6"/>
      <c r="Y871" s="6"/>
      <c r="Z871" s="6"/>
      <c r="AA871" s="6"/>
      <c r="AB871" s="19"/>
    </row>
    <row r="872" spans="1:29" x14ac:dyDescent="0.25">
      <c r="B872" s="103">
        <v>-1</v>
      </c>
      <c r="C872" s="9"/>
      <c r="D872" s="8"/>
      <c r="S872" s="6"/>
      <c r="T872" s="6"/>
      <c r="U872" s="6"/>
      <c r="V872" s="27">
        <f>$T$23</f>
        <v>-8.1300000000000003E-4</v>
      </c>
      <c r="W872" s="6" t="s">
        <v>159</v>
      </c>
      <c r="X872" s="6"/>
      <c r="Y872" s="6"/>
      <c r="Z872" s="6"/>
      <c r="AA872" s="6"/>
      <c r="AB872" s="19"/>
    </row>
    <row r="873" spans="1:29" x14ac:dyDescent="0.25">
      <c r="B873" s="103">
        <v>-1</v>
      </c>
      <c r="C873" s="9"/>
      <c r="D873" s="8"/>
      <c r="S873" s="6"/>
      <c r="T873" s="6"/>
      <c r="U873" s="6"/>
      <c r="V873" s="27">
        <f>$T$25</f>
        <v>0</v>
      </c>
      <c r="W873" s="6" t="s">
        <v>160</v>
      </c>
      <c r="X873" s="6"/>
      <c r="Y873" s="6"/>
      <c r="Z873" s="6"/>
      <c r="AA873" s="6"/>
      <c r="AB873" s="19"/>
    </row>
    <row r="874" spans="1:29" x14ac:dyDescent="0.25">
      <c r="B874" s="103">
        <v>-1</v>
      </c>
      <c r="C874" s="9"/>
      <c r="D874" s="8"/>
      <c r="S874" s="6"/>
      <c r="T874" s="6"/>
      <c r="U874" s="6"/>
      <c r="V874" s="19">
        <f>T27</f>
        <v>0</v>
      </c>
      <c r="W874" s="6" t="s">
        <v>161</v>
      </c>
      <c r="X874" s="6"/>
      <c r="Y874" s="6"/>
      <c r="Z874" s="6"/>
      <c r="AA874" s="6"/>
      <c r="AB874" s="19"/>
    </row>
    <row r="875" spans="1:29" x14ac:dyDescent="0.25">
      <c r="B875" s="103"/>
      <c r="C875" s="9"/>
      <c r="D875" s="8"/>
      <c r="S875" s="6"/>
      <c r="T875" s="6"/>
      <c r="U875" s="6"/>
      <c r="V875" s="19">
        <f>T29</f>
        <v>2.6050000000000001E-3</v>
      </c>
      <c r="W875" s="6" t="s">
        <v>301</v>
      </c>
      <c r="X875" s="6"/>
      <c r="Y875" s="6"/>
      <c r="Z875" s="6"/>
      <c r="AA875" s="6"/>
      <c r="AB875" s="19"/>
    </row>
    <row r="876" spans="1:29" x14ac:dyDescent="0.25">
      <c r="B876" s="103">
        <v>-1</v>
      </c>
      <c r="C876" s="9"/>
      <c r="D876" s="8"/>
      <c r="F876" s="70"/>
      <c r="G876" s="70"/>
      <c r="H876" s="70"/>
      <c r="I876" s="70"/>
      <c r="J876" s="161">
        <v>215</v>
      </c>
      <c r="K876" s="162">
        <v>4.0410000000000001E-2</v>
      </c>
      <c r="L876" s="161">
        <v>25</v>
      </c>
      <c r="M876" s="161">
        <v>25</v>
      </c>
      <c r="N876" s="72"/>
      <c r="O876" s="72"/>
      <c r="P876" s="72"/>
      <c r="Q876" s="72"/>
      <c r="R876" s="5"/>
      <c r="S876" s="27">
        <f>+S666</f>
        <v>2.5999999999999999E-3</v>
      </c>
      <c r="T876" s="27">
        <f>+T666</f>
        <v>-7.7250000000000001E-3</v>
      </c>
      <c r="U876" s="27">
        <f>+$S$30</f>
        <v>1.305E-3</v>
      </c>
      <c r="V876" s="27">
        <f>+V666</f>
        <v>5.5240000000000003E-3</v>
      </c>
      <c r="W876" s="27">
        <f>+W666</f>
        <v>0</v>
      </c>
      <c r="X876" s="27">
        <f>+X771</f>
        <v>2.5569999999999998E-3</v>
      </c>
      <c r="Y876" s="27">
        <f>+Y771</f>
        <v>-1.771E-3</v>
      </c>
      <c r="Z876" s="27">
        <f>+Z771</f>
        <v>6.2500000000000001E-4</v>
      </c>
      <c r="AA876" s="27">
        <f>+AA771</f>
        <v>-3.4600000000000001E-4</v>
      </c>
      <c r="AB876" s="19">
        <f>SUM(U876:Z876)</f>
        <v>8.2400000000000008E-3</v>
      </c>
    </row>
    <row r="877" spans="1:29" x14ac:dyDescent="0.25">
      <c r="A877" s="1"/>
      <c r="B877" s="103">
        <v>-1</v>
      </c>
      <c r="C877" s="9"/>
      <c r="D877" s="8"/>
      <c r="F877" s="70"/>
      <c r="G877" s="70"/>
      <c r="H877" s="70"/>
      <c r="I877" s="70"/>
      <c r="J877" s="70"/>
      <c r="K877" s="70"/>
      <c r="L877" s="73">
        <v>4000</v>
      </c>
      <c r="M877" s="70"/>
      <c r="N877" s="70"/>
      <c r="O877" s="70"/>
      <c r="P877" s="70"/>
      <c r="Q877" s="70"/>
    </row>
    <row r="878" spans="1:29" x14ac:dyDescent="0.25">
      <c r="B878" s="103">
        <v>-1</v>
      </c>
      <c r="C878" s="9"/>
      <c r="D878" s="8"/>
      <c r="F878" s="12"/>
      <c r="J878" s="12" t="s">
        <v>137</v>
      </c>
      <c r="K878" s="12" t="s">
        <v>197</v>
      </c>
      <c r="L878" s="195" t="s">
        <v>30</v>
      </c>
      <c r="M878" s="195"/>
      <c r="N878" s="12"/>
      <c r="O878" s="12"/>
      <c r="P878" s="12"/>
      <c r="Q878" s="143" t="s">
        <v>173</v>
      </c>
      <c r="R878" s="12" t="s">
        <v>196</v>
      </c>
      <c r="S878" s="12">
        <v>21</v>
      </c>
      <c r="T878" s="12">
        <v>6</v>
      </c>
      <c r="U878" s="12">
        <v>3</v>
      </c>
      <c r="V878" s="12">
        <v>22</v>
      </c>
      <c r="W878" s="12">
        <v>13</v>
      </c>
      <c r="X878" s="12">
        <v>20</v>
      </c>
      <c r="Y878" s="12">
        <v>24</v>
      </c>
      <c r="Z878" s="12">
        <v>25</v>
      </c>
      <c r="AA878" s="12">
        <v>26</v>
      </c>
    </row>
    <row r="879" spans="1:29" x14ac:dyDescent="0.25">
      <c r="A879" s="13"/>
      <c r="B879" s="103">
        <v>-1</v>
      </c>
      <c r="C879" s="99" t="s">
        <v>209</v>
      </c>
      <c r="D879" s="100" t="s">
        <v>210</v>
      </c>
      <c r="E879" s="130" t="s">
        <v>199</v>
      </c>
      <c r="F879" s="13" t="s">
        <v>141</v>
      </c>
      <c r="G879" s="13" t="s">
        <v>142</v>
      </c>
      <c r="H879" s="13" t="s">
        <v>143</v>
      </c>
      <c r="J879" s="13" t="s">
        <v>144</v>
      </c>
      <c r="K879" s="13" t="s">
        <v>144</v>
      </c>
      <c r="L879" s="13" t="s">
        <v>232</v>
      </c>
      <c r="M879" s="13" t="s">
        <v>233</v>
      </c>
      <c r="N879" s="143" t="s">
        <v>138</v>
      </c>
      <c r="O879" s="13"/>
      <c r="P879" s="13"/>
      <c r="Q879" s="13"/>
      <c r="R879" s="13" t="s">
        <v>201</v>
      </c>
      <c r="S879" s="13" t="s">
        <v>106</v>
      </c>
      <c r="T879" s="13" t="s">
        <v>36</v>
      </c>
      <c r="U879" s="139" t="s">
        <v>38</v>
      </c>
      <c r="V879" s="13" t="s">
        <v>107</v>
      </c>
      <c r="W879" s="13" t="s">
        <v>108</v>
      </c>
      <c r="X879" s="13" t="s">
        <v>109</v>
      </c>
      <c r="Y879" s="139" t="s">
        <v>44</v>
      </c>
      <c r="Z879" s="139" t="s">
        <v>46</v>
      </c>
      <c r="AA879" s="139" t="s">
        <v>48</v>
      </c>
      <c r="AB879" s="66" t="s">
        <v>110</v>
      </c>
    </row>
    <row r="880" spans="1:29" ht="13" x14ac:dyDescent="0.3">
      <c r="A880" s="48"/>
      <c r="B880" s="103">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ht="13" x14ac:dyDescent="0.3">
      <c r="A881" s="1" t="s">
        <v>148</v>
      </c>
      <c r="B881" s="103">
        <f>IF(AND('AES Indiana Bill Calc.'!$D$17="HL2",'AES Indiana Bill Calc.'!$D$18="Yes 100%",'AES Indiana Bill Calc.'!$D$20="No"),'AES Indiana Bill Calc.'!$D$19,-1)</f>
        <v>-1</v>
      </c>
      <c r="C881" s="103">
        <f>MAX(E881,$C$769)</f>
        <v>2000</v>
      </c>
      <c r="D881" s="103" t="b">
        <f>IF(AND('AES Indiana Bill Calc.'!$D$17="HL2",'AES Indiana Bill Calc.'!$D$18="Yes 100%",'AES Indiana Bill Calc.'!$D$20="No"),'AES Indiana Bill Calc.'!$D$22)</f>
        <v>0</v>
      </c>
      <c r="E881" s="103" t="b">
        <f>IF(AND('AES Indiana Bill Calc.'!$D$17="HL2",'AES Indiana Bill Calc.'!$D$18="Yes 100%",'AES Indiana Bill Calc.'!$D$20="No"),'AES Indiana Bill Calc.'!$D$21)</f>
        <v>0</v>
      </c>
      <c r="F881" s="36" t="s">
        <v>67</v>
      </c>
      <c r="G881" s="92" t="e">
        <f>SUM(J881:M881,R881:AA881)</f>
        <v>#N/A</v>
      </c>
      <c r="H881" s="19" t="e">
        <f>IF(ISBLANK(B881),0,+#REF!/B881)</f>
        <v>#REF!</v>
      </c>
      <c r="I881" s="152"/>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0.01</v>
      </c>
      <c r="U881" s="17">
        <f t="shared" si="55"/>
        <v>0</v>
      </c>
      <c r="V881" s="8">
        <f t="shared" si="55"/>
        <v>-0.01</v>
      </c>
      <c r="W881" s="17">
        <f t="shared" si="55"/>
        <v>0</v>
      </c>
      <c r="X881" s="17">
        <f t="shared" si="55"/>
        <v>0</v>
      </c>
      <c r="Y881" s="17">
        <f t="shared" si="55"/>
        <v>0</v>
      </c>
      <c r="Z881" s="17">
        <f t="shared" si="55"/>
        <v>0</v>
      </c>
      <c r="AA881" s="17">
        <f t="shared" si="55"/>
        <v>0</v>
      </c>
      <c r="AB881" s="19">
        <f>SUM(U876:AA876)</f>
        <v>7.894E-3</v>
      </c>
      <c r="AC881" s="67" t="str">
        <f>+F881</f>
        <v>HL2</v>
      </c>
    </row>
    <row r="882" spans="1:29" ht="13" x14ac:dyDescent="0.3">
      <c r="A882" s="9"/>
      <c r="B882" s="103">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ht="13" x14ac:dyDescent="0.3">
      <c r="A883" s="1" t="s">
        <v>149</v>
      </c>
      <c r="B883" s="103">
        <f>IF(AND('AES Indiana Bill Calc.'!$D$17="HL2",'AES Indiana Bill Calc.'!$D$18="Yes 50%",'AES Indiana Bill Calc.'!$D$20="No"),'AES Indiana Bill Calc.'!$D$19,-1)</f>
        <v>-1</v>
      </c>
      <c r="C883" s="103">
        <f>MAX(E883,$C$769)</f>
        <v>2000</v>
      </c>
      <c r="D883" s="103" t="b">
        <f>IF(AND('AES Indiana Bill Calc.'!$D$17="HL2",'AES Indiana Bill Calc.'!$D$18="Yes 50%",'AES Indiana Bill Calc.'!$D$20="No"),'AES Indiana Bill Calc.'!$D$22)</f>
        <v>0</v>
      </c>
      <c r="E883" s="103" t="b">
        <f>IF(AND('AES Indiana Bill Calc.'!$D$17="HL2",'AES Indiana Bill Calc.'!$D$18="Yes 50%",'AES Indiana Bill Calc.'!$D$20="No"),'AES Indiana Bill Calc.'!$D$21)</f>
        <v>0</v>
      </c>
      <c r="F883" s="36" t="s">
        <v>67</v>
      </c>
      <c r="G883" s="92" t="e">
        <f>SUM(J883:M883,R883:AA883)</f>
        <v>#N/A</v>
      </c>
      <c r="H883" s="19" t="e">
        <f>IF(ISBLANK(B883),0,+#REF!/B883)</f>
        <v>#REF!</v>
      </c>
      <c r="I883" s="152"/>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0.01</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ht="13" x14ac:dyDescent="0.3">
      <c r="A884" s="9"/>
      <c r="B884" s="103">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ht="13" x14ac:dyDescent="0.3">
      <c r="A885" s="1" t="s">
        <v>150</v>
      </c>
      <c r="B885" s="103">
        <f>IF(AND('AES Indiana Bill Calc.'!$D$17="HL2",'AES Indiana Bill Calc.'!$D$18="Yes 25%",'AES Indiana Bill Calc.'!$D$20="No"),'AES Indiana Bill Calc.'!$D$19,-1)</f>
        <v>-1</v>
      </c>
      <c r="C885" s="103">
        <f>MAX(E885,$C$769)</f>
        <v>2000</v>
      </c>
      <c r="D885" s="103" t="b">
        <f>IF(AND('AES Indiana Bill Calc.'!$D$17="HL2",'AES Indiana Bill Calc.'!$D$18="Yes 25%",'AES Indiana Bill Calc.'!$D$20="No"),'AES Indiana Bill Calc.'!$D$22)</f>
        <v>0</v>
      </c>
      <c r="E885" s="103" t="b">
        <f>IF(AND('AES Indiana Bill Calc.'!$D$17="HL2",'AES Indiana Bill Calc.'!$D$18="Yes 25%",'AES Indiana Bill Calc.'!$D$20="No"),'AES Indiana Bill Calc.'!$D$21)</f>
        <v>0</v>
      </c>
      <c r="F885" s="36" t="s">
        <v>67</v>
      </c>
      <c r="G885" s="92" t="e">
        <f>SUM(J885:M885,R885:AA885)</f>
        <v>#N/A</v>
      </c>
      <c r="H885" s="19" t="e">
        <f>IF(ISBLANK(B885),0,+#REF!/B885)</f>
        <v>#REF!</v>
      </c>
      <c r="I885" s="152"/>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0.01</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ht="13" x14ac:dyDescent="0.3">
      <c r="A886" s="9"/>
      <c r="B886" s="103">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ht="13" x14ac:dyDescent="0.3">
      <c r="A887" s="1" t="s">
        <v>164</v>
      </c>
      <c r="B887" s="103">
        <f>IF(AND('AES Indiana Bill Calc.'!$D$17="HL2",'AES Indiana Bill Calc.'!$D$18="Yes 10%",'AES Indiana Bill Calc.'!$D$20="No"),'AES Indiana Bill Calc.'!$D$19,-1)</f>
        <v>-1</v>
      </c>
      <c r="C887" s="103">
        <f>MAX(E887,$C$769)</f>
        <v>2000</v>
      </c>
      <c r="D887" s="103" t="b">
        <f>IF(AND('AES Indiana Bill Calc.'!$D$17="HL2",'AES Indiana Bill Calc.'!$D$18="Yes 10%",'AES Indiana Bill Calc.'!$D$20="No"),'AES Indiana Bill Calc.'!$D$22)</f>
        <v>0</v>
      </c>
      <c r="E887" s="103" t="b">
        <f>IF(AND('AES Indiana Bill Calc.'!$D$17="HL2",'AES Indiana Bill Calc.'!$D$18="Yes 10%",'AES Indiana Bill Calc.'!$D$20="No"),'AES Indiana Bill Calc.'!$D$21)</f>
        <v>0</v>
      </c>
      <c r="F887" s="36" t="s">
        <v>67</v>
      </c>
      <c r="G887" s="92" t="e">
        <f>SUM(J887:M887,R887:AA887)</f>
        <v>#N/A</v>
      </c>
      <c r="H887" s="19" t="e">
        <f>IF(ISBLANK(B887),0,+#REF!/B887)</f>
        <v>#REF!</v>
      </c>
      <c r="I887" s="152"/>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0.01</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ht="13" x14ac:dyDescent="0.3">
      <c r="A888" s="9"/>
      <c r="B888" s="103">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ht="13" x14ac:dyDescent="0.3">
      <c r="A889" s="1" t="s">
        <v>147</v>
      </c>
      <c r="B889" s="103">
        <f>IF(AND('AES Indiana Bill Calc.'!$D$17="HL2",'AES Indiana Bill Calc.'!$D$18="No",'AES Indiana Bill Calc.'!$D$20="No"),'AES Indiana Bill Calc.'!$D$19,-1)</f>
        <v>-1</v>
      </c>
      <c r="C889" s="103">
        <f>MAX(E889,$C$769)</f>
        <v>2000</v>
      </c>
      <c r="D889" s="103" t="b">
        <f>IF(AND('AES Indiana Bill Calc.'!$D$17="HL2",'AES Indiana Bill Calc.'!$D$18="No",'AES Indiana Bill Calc.'!$D$20="No"),'AES Indiana Bill Calc.'!$D$22)</f>
        <v>0</v>
      </c>
      <c r="E889" s="103" t="b">
        <f>IF(AND('AES Indiana Bill Calc.'!$D$17="HL2",'AES Indiana Bill Calc.'!$D$18="No",'AES Indiana Bill Calc.'!$D$20="No"),'AES Indiana Bill Calc.'!$D$21)</f>
        <v>0</v>
      </c>
      <c r="F889" s="36" t="s">
        <v>67</v>
      </c>
      <c r="G889" s="92" t="e">
        <f>SUM(J889:M889,R889:AA889)</f>
        <v>#N/A</v>
      </c>
      <c r="H889" s="19" t="e">
        <f>IF(ISBLANK(B889),0,+#REF!/B889)</f>
        <v>#REF!</v>
      </c>
      <c r="I889" s="152"/>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0.01</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ht="13" x14ac:dyDescent="0.3">
      <c r="B890" s="103">
        <v>-1</v>
      </c>
      <c r="D890" s="32"/>
      <c r="E890" s="103"/>
      <c r="F890" s="36"/>
      <c r="G890" s="92"/>
      <c r="H890" s="19" t="e">
        <f>IF(ISBLANK(B890),0,+#REF!/B890)</f>
        <v>#REF!</v>
      </c>
      <c r="J890" s="109">
        <f t="shared" si="59"/>
        <v>215</v>
      </c>
      <c r="K890" s="92">
        <f t="shared" si="60"/>
        <v>-0.04</v>
      </c>
      <c r="L890" s="92">
        <f>IF(ISBLANK($E890),0,IF($E890&lt;$C$877,ROUND($C$877*$L$876,2),IF($E890&gt;L$877,ROUND(L$877*L$876,2),ROUND($E890*L$876,2))))</f>
        <v>0</v>
      </c>
      <c r="M890" s="92">
        <f>IF($E890&gt;L$877,ROUND(($E890-L$877)*M$876,2),0)</f>
        <v>0</v>
      </c>
      <c r="N890" s="92"/>
      <c r="O890" s="92"/>
      <c r="P890" s="92"/>
      <c r="Q890" s="92"/>
      <c r="R890" s="16" t="e">
        <f>VLOOKUP((D891),'Pwr Factor'!$A$1:$B$52,2)</f>
        <v>#N/A</v>
      </c>
      <c r="S890" s="50">
        <v>1</v>
      </c>
      <c r="T890" s="92"/>
      <c r="U890" s="92"/>
      <c r="V890" s="32"/>
      <c r="W890" s="92"/>
      <c r="X890" s="92"/>
      <c r="Y890" s="92"/>
      <c r="Z890" s="92"/>
      <c r="AA890" s="92"/>
      <c r="AB890" s="19"/>
      <c r="AC890" s="105">
        <f t="shared" si="62"/>
        <v>0</v>
      </c>
    </row>
    <row r="891" spans="1:29" ht="13" x14ac:dyDescent="0.3">
      <c r="A891" s="1" t="s">
        <v>148</v>
      </c>
      <c r="B891" s="103">
        <f>IF(AND('AES Indiana Bill Calc.'!$D$17="HL2",'AES Indiana Bill Calc.'!$D$18="Yes 100%",'AES Indiana Bill Calc.'!$D$20="Yes Before 2018"),'AES Indiana Bill Calc.'!$D$19,-1)</f>
        <v>-1</v>
      </c>
      <c r="C891" s="103">
        <f>MAX(E891,$C$769)</f>
        <v>2000</v>
      </c>
      <c r="D891" s="103" t="b">
        <f>IF(AND('AES Indiana Bill Calc.'!$D$17="HL2",'AES Indiana Bill Calc.'!$D$18="Yes 100%",'AES Indiana Bill Calc.'!$D$20="Yes Before 2018"),'AES Indiana Bill Calc.'!$D$22)</f>
        <v>0</v>
      </c>
      <c r="E891" s="103" t="b">
        <f>IF(AND('AES Indiana Bill Calc.'!$D$17="HL2",'AES Indiana Bill Calc.'!$D$18="Yes 100%",'AES Indiana Bill Calc.'!$D$20="Yes Before 2018"),'AES Indiana Bill Calc.'!$D$21)</f>
        <v>0</v>
      </c>
      <c r="F891" s="36" t="s">
        <v>241</v>
      </c>
      <c r="G891" s="92" t="e">
        <f>SUM(J891:M891,R891:AA891)</f>
        <v>#N/A</v>
      </c>
      <c r="H891" s="19" t="e">
        <f>IF(ISBLANK(B891),0,+#REF!/B891)</f>
        <v>#REF!</v>
      </c>
      <c r="J891" s="109">
        <f t="shared" si="59"/>
        <v>215</v>
      </c>
      <c r="K891" s="92">
        <f t="shared" si="60"/>
        <v>-0.04</v>
      </c>
      <c r="L891" s="17">
        <f>IF(ISBLANK($C891),0,IF($C891&lt;$C$877,ROUND($C$877*$L$876,2),IF($C891&gt;L$877,ROUND(L$877*L$876,2),ROUND($C891*L$876,2))))</f>
        <v>50000</v>
      </c>
      <c r="M891" s="17">
        <f>IF($C891&gt;L$877,ROUND(($C891-L$877)*M$876,2),0)</f>
        <v>0</v>
      </c>
      <c r="N891" s="17">
        <f>K891</f>
        <v>-0.04</v>
      </c>
      <c r="O891" s="92"/>
      <c r="P891" s="92"/>
      <c r="Q891" s="17">
        <f>SUM(L891:M891)</f>
        <v>50000</v>
      </c>
      <c r="R891" s="110" t="e">
        <f>ROUND(SUM(K891:M891)*(R890-1),2)</f>
        <v>#N/A</v>
      </c>
      <c r="S891" s="92">
        <f>ROUND($B891*S$876*S890,2)</f>
        <v>0</v>
      </c>
      <c r="T891" s="92">
        <f>ROUND($B891*T$876,2)</f>
        <v>0.01</v>
      </c>
      <c r="U891" s="92">
        <f>ROUND($B891*U$876,2)</f>
        <v>0</v>
      </c>
      <c r="V891" s="32">
        <f>ROUND($B891*$V$868,2)</f>
        <v>0</v>
      </c>
      <c r="W891" s="92">
        <f>ROUND($B891*W$876,2)</f>
        <v>0</v>
      </c>
      <c r="X891" s="92">
        <f>ROUND($B891*X$876,2)</f>
        <v>0</v>
      </c>
      <c r="Y891" s="92">
        <f>ROUND($B891*Y$876,2)</f>
        <v>0</v>
      </c>
      <c r="Z891" s="92">
        <f>ROUND($B891*Z$876,2)</f>
        <v>0</v>
      </c>
      <c r="AA891" s="92">
        <f>ROUND($B891*AA$876,2)</f>
        <v>0</v>
      </c>
      <c r="AB891" s="19">
        <f>SUM(U$876:AA$876)+(-V$876+V877)</f>
        <v>2.3699999999999997E-3</v>
      </c>
      <c r="AC891" s="105" t="str">
        <f t="shared" si="62"/>
        <v>HL27</v>
      </c>
    </row>
    <row r="892" spans="1:29" ht="13" x14ac:dyDescent="0.3">
      <c r="A892" s="9"/>
      <c r="B892" s="103">
        <v>-1</v>
      </c>
      <c r="D892" s="32"/>
      <c r="E892" s="103"/>
      <c r="F892" s="36"/>
      <c r="G892" s="92"/>
      <c r="H892" s="19" t="e">
        <f>IF(ISBLANK(B892),0,+#REF!/B892)</f>
        <v>#REF!</v>
      </c>
      <c r="J892" s="109">
        <f t="shared" si="59"/>
        <v>215</v>
      </c>
      <c r="K892" s="92">
        <f t="shared" si="60"/>
        <v>-0.04</v>
      </c>
      <c r="L892" s="92">
        <f>IF(ISBLANK($E892),0,IF($E892&lt;$C$877,ROUND($C$877*$L$876,2),IF($E892&gt;L$877,ROUND(L$877*L$876,2),ROUND($E892*L$876,2))))</f>
        <v>0</v>
      </c>
      <c r="M892" s="92">
        <f>IF($E892&gt;L$877,ROUND(($E892-L$877)*M$876,2),0)</f>
        <v>0</v>
      </c>
      <c r="N892" s="92"/>
      <c r="O892" s="92"/>
      <c r="P892" s="92"/>
      <c r="Q892" s="92"/>
      <c r="R892" s="16" t="e">
        <f>VLOOKUP((D893),'Pwr Factor'!$A$1:$B$52,2)</f>
        <v>#N/A</v>
      </c>
      <c r="S892" s="50">
        <v>0.5</v>
      </c>
      <c r="T892" s="92"/>
      <c r="U892" s="92"/>
      <c r="V892" s="32"/>
      <c r="W892" s="92"/>
      <c r="X892" s="92"/>
      <c r="Y892" s="92"/>
      <c r="Z892" s="92"/>
      <c r="AA892" s="92"/>
      <c r="AB892" s="19"/>
      <c r="AC892" s="105">
        <f t="shared" si="62"/>
        <v>0</v>
      </c>
    </row>
    <row r="893" spans="1:29" ht="13" x14ac:dyDescent="0.3">
      <c r="A893" s="1" t="s">
        <v>149</v>
      </c>
      <c r="B893" s="103">
        <f>IF(AND('AES Indiana Bill Calc.'!$D$17="HL2",'AES Indiana Bill Calc.'!$D$18="Yes 50%",'AES Indiana Bill Calc.'!$D$20="Yes Before 2018"),'AES Indiana Bill Calc.'!$D$19,-1)</f>
        <v>-1</v>
      </c>
      <c r="C893" s="103">
        <f>MAX(E893,$C$769)</f>
        <v>2000</v>
      </c>
      <c r="D893" s="103" t="b">
        <f>IF(AND('AES Indiana Bill Calc.'!$D$17="HL2",'AES Indiana Bill Calc.'!$D$18="Yes 50%",'AES Indiana Bill Calc.'!$D$20="Yes Before 2018"),'AES Indiana Bill Calc.'!$D$22)</f>
        <v>0</v>
      </c>
      <c r="E893" s="103" t="b">
        <f>IF(AND('AES Indiana Bill Calc.'!$D$17="HL2",'AES Indiana Bill Calc.'!$D$18="Yes 50%",'AES Indiana Bill Calc.'!$D$20="Yes Before 2018"),'AES Indiana Bill Calc.'!$D$21)</f>
        <v>0</v>
      </c>
      <c r="F893" s="36" t="s">
        <v>241</v>
      </c>
      <c r="G893" s="92" t="e">
        <f>SUM(J893:M893,R893:AA893)</f>
        <v>#N/A</v>
      </c>
      <c r="H893" s="19" t="e">
        <f>IF(ISBLANK(B893),0,+#REF!/B893)</f>
        <v>#REF!</v>
      </c>
      <c r="J893" s="109">
        <f t="shared" si="59"/>
        <v>215</v>
      </c>
      <c r="K893" s="92">
        <f t="shared" si="60"/>
        <v>-0.04</v>
      </c>
      <c r="L893" s="17">
        <f>IF(ISBLANK($C893),0,IF($C893&lt;$C$877,ROUND($C$877*$L$876,2),IF($C893&gt;L$877,ROUND(L$877*L$876,2),ROUND($C893*L$876,2))))</f>
        <v>50000</v>
      </c>
      <c r="M893" s="17">
        <f>IF($C893&gt;L$877,ROUND(($C893-L$877)*M$876,2),0)</f>
        <v>0</v>
      </c>
      <c r="N893" s="17">
        <f>K893</f>
        <v>-0.04</v>
      </c>
      <c r="O893" s="92"/>
      <c r="P893" s="92"/>
      <c r="Q893" s="17">
        <f>SUM(L893:M893)</f>
        <v>50000</v>
      </c>
      <c r="R893" s="110" t="e">
        <f>ROUND(SUM(K893:M893)*(R892-1),2)</f>
        <v>#N/A</v>
      </c>
      <c r="S893" s="92">
        <f>ROUND($B893*S$876*S892,2)</f>
        <v>0</v>
      </c>
      <c r="T893" s="92">
        <f>ROUND($B893*T$876,2)</f>
        <v>0.01</v>
      </c>
      <c r="U893" s="92">
        <f>ROUND($B893*U$876,2)</f>
        <v>0</v>
      </c>
      <c r="V893" s="32">
        <f>ROUND($B893*$V$868,2)</f>
        <v>0</v>
      </c>
      <c r="W893" s="92">
        <f>ROUND($B893*W$876,2)</f>
        <v>0</v>
      </c>
      <c r="X893" s="92">
        <f>ROUND($B893*X$876,2)</f>
        <v>0</v>
      </c>
      <c r="Y893" s="92">
        <f>ROUND($B893*Y$876,2)</f>
        <v>0</v>
      </c>
      <c r="Z893" s="92">
        <f>ROUND($B893*Z$876,2)</f>
        <v>0</v>
      </c>
      <c r="AA893" s="92">
        <f>ROUND($B893*AA$876,2)</f>
        <v>0</v>
      </c>
      <c r="AB893" s="19" t="e">
        <f>SUM(U$876:AA$876)+(-V$876+V879)</f>
        <v>#VALUE!</v>
      </c>
      <c r="AC893" s="105" t="str">
        <f t="shared" si="62"/>
        <v>HL27</v>
      </c>
    </row>
    <row r="894" spans="1:29" ht="13" x14ac:dyDescent="0.3">
      <c r="A894" s="9"/>
      <c r="B894" s="103">
        <v>-1</v>
      </c>
      <c r="D894" s="32"/>
      <c r="E894" s="103"/>
      <c r="F894" s="36"/>
      <c r="G894" s="92"/>
      <c r="H894" s="19" t="e">
        <f>IF(ISBLANK(B894),0,+#REF!/B894)</f>
        <v>#REF!</v>
      </c>
      <c r="J894" s="109">
        <f t="shared" si="59"/>
        <v>215</v>
      </c>
      <c r="K894" s="92">
        <f t="shared" si="60"/>
        <v>-0.04</v>
      </c>
      <c r="L894" s="92">
        <f>IF(ISBLANK($E894),0,IF($E894&lt;$C$877,ROUND($C$877*$L$876,2),IF($E894&gt;L$877,ROUND(L$877*L$876,2),ROUND($E894*L$876,2))))</f>
        <v>0</v>
      </c>
      <c r="M894" s="92">
        <f>IF($E894&gt;L$877,ROUND(($E894-L$877)*M$876,2),0)</f>
        <v>0</v>
      </c>
      <c r="N894" s="92"/>
      <c r="O894" s="92"/>
      <c r="P894" s="92"/>
      <c r="Q894" s="92"/>
      <c r="R894" s="16" t="e">
        <f>VLOOKUP((D895),'Pwr Factor'!$A$1:$B$52,2)</f>
        <v>#N/A</v>
      </c>
      <c r="S894" s="50">
        <v>0.25</v>
      </c>
      <c r="T894" s="92"/>
      <c r="U894" s="92"/>
      <c r="V894" s="32"/>
      <c r="W894" s="92"/>
      <c r="X894" s="92"/>
      <c r="Y894" s="92"/>
      <c r="Z894" s="92"/>
      <c r="AA894" s="92"/>
      <c r="AB894" s="19"/>
      <c r="AC894" s="105">
        <f t="shared" si="62"/>
        <v>0</v>
      </c>
    </row>
    <row r="895" spans="1:29" ht="13" x14ac:dyDescent="0.3">
      <c r="A895" s="1" t="s">
        <v>150</v>
      </c>
      <c r="B895" s="103">
        <f>IF(AND('AES Indiana Bill Calc.'!$D$17="HL2",'AES Indiana Bill Calc.'!$D$18="Yes 25%",'AES Indiana Bill Calc.'!$D$20="Yes Before 2018"),'AES Indiana Bill Calc.'!$D$19,-1)</f>
        <v>-1</v>
      </c>
      <c r="C895" s="103">
        <f>MAX(E895,$C$769)</f>
        <v>2000</v>
      </c>
      <c r="D895" s="103" t="b">
        <f>IF(AND('AES Indiana Bill Calc.'!$D$17="HL2",'AES Indiana Bill Calc.'!$D$18="Yes 25%",'AES Indiana Bill Calc.'!$D$20="Yes Before 2018"),'AES Indiana Bill Calc.'!$D$22)</f>
        <v>0</v>
      </c>
      <c r="E895" s="103" t="b">
        <f>IF(AND('AES Indiana Bill Calc.'!$D$17="HL2",'AES Indiana Bill Calc.'!$D$18="Yes 25%",'AES Indiana Bill Calc.'!$D$20="Yes Before 2018"),'AES Indiana Bill Calc.'!$D$21)</f>
        <v>0</v>
      </c>
      <c r="F895" s="36" t="s">
        <v>241</v>
      </c>
      <c r="G895" s="92" t="e">
        <f>SUM(J895:M895,R895:AA895)</f>
        <v>#N/A</v>
      </c>
      <c r="H895" s="19" t="e">
        <f>IF(ISBLANK(B895),0,+#REF!/B895)</f>
        <v>#REF!</v>
      </c>
      <c r="J895" s="109">
        <f t="shared" si="59"/>
        <v>215</v>
      </c>
      <c r="K895" s="92">
        <f t="shared" si="60"/>
        <v>-0.04</v>
      </c>
      <c r="L895" s="17">
        <f>IF(ISBLANK($C895),0,IF($C895&lt;$C$877,ROUND($C$877*$L$876,2),IF($C895&gt;L$877,ROUND(L$877*L$876,2),ROUND($C895*L$876,2))))</f>
        <v>50000</v>
      </c>
      <c r="M895" s="17">
        <f>IF($C895&gt;L$877,ROUND(($C895-L$877)*M$876,2),0)</f>
        <v>0</v>
      </c>
      <c r="N895" s="17">
        <f>K895</f>
        <v>-0.04</v>
      </c>
      <c r="O895" s="92"/>
      <c r="P895" s="92"/>
      <c r="Q895" s="17">
        <f>SUM(L895:M895)</f>
        <v>50000</v>
      </c>
      <c r="R895" s="110" t="e">
        <f>ROUND(SUM(K895:M895)*(R894-1),2)</f>
        <v>#N/A</v>
      </c>
      <c r="S895" s="92">
        <f>ROUND($B895*S$876*S894,2)</f>
        <v>0</v>
      </c>
      <c r="T895" s="92">
        <f>ROUND($B895*T$876,2)</f>
        <v>0.01</v>
      </c>
      <c r="U895" s="92">
        <f>ROUND($B895*U$876,2)</f>
        <v>0</v>
      </c>
      <c r="V895" s="32">
        <f>ROUND($B895*$V$868,2)</f>
        <v>0</v>
      </c>
      <c r="W895" s="92">
        <f>ROUND($B895*W$876,2)</f>
        <v>0</v>
      </c>
      <c r="X895" s="92">
        <f>ROUND($B895*X$876,2)</f>
        <v>0</v>
      </c>
      <c r="Y895" s="92">
        <f>ROUND($B895*Y$876,2)</f>
        <v>0</v>
      </c>
      <c r="Z895" s="92">
        <f>ROUND($B895*Z$876,2)</f>
        <v>0</v>
      </c>
      <c r="AA895" s="92">
        <f>ROUND($B895*AA$876,2)</f>
        <v>0</v>
      </c>
      <c r="AB895" s="19">
        <f>SUM(U$876:AA$876)+(-V$876+V881)</f>
        <v>-7.6299999999999996E-3</v>
      </c>
      <c r="AC895" s="105" t="str">
        <f t="shared" si="62"/>
        <v>HL27</v>
      </c>
    </row>
    <row r="896" spans="1:29" ht="13" x14ac:dyDescent="0.3">
      <c r="A896" s="9"/>
      <c r="B896" s="103">
        <v>-1</v>
      </c>
      <c r="D896" s="32"/>
      <c r="E896" s="103"/>
      <c r="F896" s="36"/>
      <c r="G896" s="92"/>
      <c r="H896" s="19" t="e">
        <f>IF(ISBLANK(B896),0,+#REF!/B896)</f>
        <v>#REF!</v>
      </c>
      <c r="J896" s="109">
        <f t="shared" si="59"/>
        <v>215</v>
      </c>
      <c r="K896" s="92">
        <f t="shared" si="60"/>
        <v>-0.04</v>
      </c>
      <c r="L896" s="92">
        <f>IF(ISBLANK($E896),0,IF($E896&lt;$C$877,ROUND($C$877*$L$876,2),IF($E896&gt;L$877,ROUND(L$877*L$876,2),ROUND($E896*L$876,2))))</f>
        <v>0</v>
      </c>
      <c r="M896" s="92">
        <f>IF($E896&gt;L$877,ROUND(($E896-L$877)*M$876,2),0)</f>
        <v>0</v>
      </c>
      <c r="N896" s="92"/>
      <c r="O896" s="92"/>
      <c r="P896" s="92"/>
      <c r="Q896" s="92"/>
      <c r="R896" s="16" t="e">
        <f>VLOOKUP((D897),'Pwr Factor'!$A$1:$B$52,2)</f>
        <v>#N/A</v>
      </c>
      <c r="S896" s="50">
        <v>0.1</v>
      </c>
      <c r="T896" s="92"/>
      <c r="U896" s="92"/>
      <c r="V896" s="32"/>
      <c r="W896" s="92"/>
      <c r="X896" s="92"/>
      <c r="Y896" s="92"/>
      <c r="Z896" s="92"/>
      <c r="AA896" s="92"/>
      <c r="AB896" s="19"/>
      <c r="AC896" s="105">
        <f t="shared" si="62"/>
        <v>0</v>
      </c>
    </row>
    <row r="897" spans="1:252" ht="13" x14ac:dyDescent="0.3">
      <c r="A897" s="1" t="s">
        <v>164</v>
      </c>
      <c r="B897" s="103">
        <f>IF(AND('AES Indiana Bill Calc.'!$D$17="HL2",'AES Indiana Bill Calc.'!$D$18="Yes 10%",'AES Indiana Bill Calc.'!$D$20="Yes Before 2018"),'AES Indiana Bill Calc.'!$D$19,-1)</f>
        <v>-1</v>
      </c>
      <c r="C897" s="103">
        <f>MAX(E897,$C$769)</f>
        <v>2000</v>
      </c>
      <c r="D897" s="103" t="b">
        <f>IF(AND('AES Indiana Bill Calc.'!$D$17="HL2",'AES Indiana Bill Calc.'!$D$18="Yes 10%",'AES Indiana Bill Calc.'!$D$20="Yes Before 2018"),'AES Indiana Bill Calc.'!$D$22)</f>
        <v>0</v>
      </c>
      <c r="E897" s="103" t="b">
        <f>IF(AND('AES Indiana Bill Calc.'!$D$17="HL2",'AES Indiana Bill Calc.'!$D$18="Yes 10%",'AES Indiana Bill Calc.'!$D$20="Yes Before 2018"),'AES Indiana Bill Calc.'!$D$21)</f>
        <v>0</v>
      </c>
      <c r="F897" s="36" t="s">
        <v>241</v>
      </c>
      <c r="G897" s="92" t="e">
        <f>SUM(J897:M897,R897:AA897)</f>
        <v>#N/A</v>
      </c>
      <c r="H897" s="19" t="e">
        <f>IF(ISBLANK(B897),0,+#REF!/B897)</f>
        <v>#REF!</v>
      </c>
      <c r="J897" s="109">
        <f t="shared" si="59"/>
        <v>215</v>
      </c>
      <c r="K897" s="92">
        <f t="shared" si="60"/>
        <v>-0.04</v>
      </c>
      <c r="L897" s="17">
        <f>IF(ISBLANK($C897),0,IF($C897&lt;$C$877,ROUND($C$877*$L$876,2),IF($C897&gt;L$877,ROUND(L$877*L$876,2),ROUND($C897*L$876,2))))</f>
        <v>50000</v>
      </c>
      <c r="M897" s="17">
        <f>IF($C897&gt;L$877,ROUND(($C897-L$877)*M$876,2),0)</f>
        <v>0</v>
      </c>
      <c r="N897" s="17">
        <f>K897</f>
        <v>-0.04</v>
      </c>
      <c r="O897" s="92"/>
      <c r="P897" s="92"/>
      <c r="Q897" s="17">
        <f>SUM(L897:M897)</f>
        <v>50000</v>
      </c>
      <c r="R897" s="110" t="e">
        <f>ROUND(SUM(K897:M897)*(R896-1),2)</f>
        <v>#N/A</v>
      </c>
      <c r="S897" s="92">
        <f>ROUND($B897*S$876*S896,2)</f>
        <v>0</v>
      </c>
      <c r="T897" s="92">
        <f>ROUND($B897*T$876,2)</f>
        <v>0.01</v>
      </c>
      <c r="U897" s="92">
        <f>ROUND($B897*U$876,2)</f>
        <v>0</v>
      </c>
      <c r="V897" s="32">
        <f>ROUND($B897*$V$868,2)</f>
        <v>0</v>
      </c>
      <c r="W897" s="92">
        <f>ROUND($B897*W$876,2)</f>
        <v>0</v>
      </c>
      <c r="X897" s="92">
        <f>ROUND($B897*X$876,2)</f>
        <v>0</v>
      </c>
      <c r="Y897" s="92">
        <f>ROUND($B897*Y$876,2)</f>
        <v>0</v>
      </c>
      <c r="Z897" s="92">
        <f>ROUND($B897*Z$876,2)</f>
        <v>0</v>
      </c>
      <c r="AA897" s="92">
        <f>ROUND($B897*AA$876,2)</f>
        <v>0</v>
      </c>
      <c r="AB897" s="19">
        <f>SUM(U$876:AA$876)+(-V$876+V883)</f>
        <v>-7.6299999999999996E-3</v>
      </c>
      <c r="AC897" s="105" t="str">
        <f t="shared" si="62"/>
        <v>HL27</v>
      </c>
    </row>
    <row r="898" spans="1:252" ht="13" x14ac:dyDescent="0.3">
      <c r="A898" s="9"/>
      <c r="B898" s="103">
        <v>-1</v>
      </c>
      <c r="D898" s="32"/>
      <c r="E898" s="103"/>
      <c r="F898" s="36"/>
      <c r="G898" s="92"/>
      <c r="H898" s="19" t="e">
        <f>IF(ISBLANK(B898),0,+#REF!/B898)</f>
        <v>#REF!</v>
      </c>
      <c r="J898" s="109">
        <f t="shared" si="59"/>
        <v>215</v>
      </c>
      <c r="K898" s="92">
        <f t="shared" si="60"/>
        <v>-0.04</v>
      </c>
      <c r="L898" s="92">
        <f>IF(ISBLANK($E898),0,IF($E898&lt;$C$877,ROUND($C$877*$L$876,2),IF($E898&gt;L$877,ROUND(L$877*L$876,2),ROUND($E898*L$876,2))))</f>
        <v>0</v>
      </c>
      <c r="M898" s="92">
        <f>IF($E898&gt;L$877,ROUND(($E898-L$877)*M$876,2),0)</f>
        <v>0</v>
      </c>
      <c r="N898" s="92"/>
      <c r="O898" s="92"/>
      <c r="P898" s="92"/>
      <c r="Q898" s="92"/>
      <c r="R898" s="16" t="e">
        <f>VLOOKUP((D899),'Pwr Factor'!$A$1:$B$52,2)</f>
        <v>#N/A</v>
      </c>
      <c r="S898" s="50">
        <v>0</v>
      </c>
      <c r="T898" s="92"/>
      <c r="U898" s="92"/>
      <c r="V898" s="32"/>
      <c r="W898" s="92"/>
      <c r="X898" s="92"/>
      <c r="Y898" s="92"/>
      <c r="Z898" s="92"/>
      <c r="AA898" s="92"/>
      <c r="AB898" s="19"/>
      <c r="AC898" s="105">
        <f t="shared" si="62"/>
        <v>0</v>
      </c>
    </row>
    <row r="899" spans="1:252" ht="13" x14ac:dyDescent="0.3">
      <c r="A899" s="1" t="s">
        <v>147</v>
      </c>
      <c r="B899" s="103">
        <f>IF(AND('AES Indiana Bill Calc.'!$D$17="HL2",'AES Indiana Bill Calc.'!$D$18="No",'AES Indiana Bill Calc.'!$D$20="Yes Before 2018"),'AES Indiana Bill Calc.'!$D$19,-1)</f>
        <v>-1</v>
      </c>
      <c r="C899" s="103">
        <f>MAX(E899,$C$769)</f>
        <v>2000</v>
      </c>
      <c r="D899" s="103" t="b">
        <f>IF(AND('AES Indiana Bill Calc.'!$D$17="HL2",'AES Indiana Bill Calc.'!$D$18="No",'AES Indiana Bill Calc.'!$D$20="Yes Before 2018"),'AES Indiana Bill Calc.'!$D$22)</f>
        <v>0</v>
      </c>
      <c r="E899" s="103" t="b">
        <f>IF(AND('AES Indiana Bill Calc.'!$D$17="HL2",'AES Indiana Bill Calc.'!$D$18="No",'AES Indiana Bill Calc.'!$D$20="Yes Before 2018"),'AES Indiana Bill Calc.'!$D$21)</f>
        <v>0</v>
      </c>
      <c r="F899" s="36" t="s">
        <v>241</v>
      </c>
      <c r="G899" s="92" t="e">
        <f>SUM(J899:M899,R899:AA899)</f>
        <v>#N/A</v>
      </c>
      <c r="H899" s="19" t="e">
        <f>IF(ISBLANK(B899),0,+#REF!/B899)</f>
        <v>#REF!</v>
      </c>
      <c r="J899" s="109">
        <f t="shared" si="59"/>
        <v>215</v>
      </c>
      <c r="K899" s="92">
        <f t="shared" si="60"/>
        <v>-0.04</v>
      </c>
      <c r="L899" s="17">
        <f>IF(ISBLANK($C899),0,IF($C899&lt;$C$877,ROUND($C$877*$L$876,2),IF($C899&gt;L$877,ROUND(L$877*L$876,2),ROUND($C899*L$876,2))))</f>
        <v>50000</v>
      </c>
      <c r="M899" s="17">
        <f>IF($C899&gt;L$877,ROUND(($C899-L$877)*M$876,2),0)</f>
        <v>0</v>
      </c>
      <c r="N899" s="17">
        <f>K899</f>
        <v>-0.04</v>
      </c>
      <c r="O899" s="92"/>
      <c r="P899" s="92"/>
      <c r="Q899" s="17">
        <f>SUM(L899:M899)</f>
        <v>50000</v>
      </c>
      <c r="R899" s="110" t="e">
        <f>ROUND(SUM(K899:M899)*(R898-1),2)</f>
        <v>#N/A</v>
      </c>
      <c r="S899" s="92">
        <f>ROUND($B899*S$876*S898,2)</f>
        <v>0</v>
      </c>
      <c r="T899" s="92">
        <f>ROUND($B899*T$876,2)</f>
        <v>0.01</v>
      </c>
      <c r="U899" s="92">
        <f>ROUND($B899*U$876,2)</f>
        <v>0</v>
      </c>
      <c r="V899" s="32">
        <f>ROUND($B899*$V$868,2)</f>
        <v>0</v>
      </c>
      <c r="W899" s="92">
        <f>ROUND($B899*W$876,2)</f>
        <v>0</v>
      </c>
      <c r="X899" s="92">
        <f>ROUND($B899*X$876,2)</f>
        <v>0</v>
      </c>
      <c r="Y899" s="92">
        <f>ROUND($B899*Y$876,2)</f>
        <v>0</v>
      </c>
      <c r="Z899" s="92">
        <f>ROUND($B899*Z$876,2)</f>
        <v>0</v>
      </c>
      <c r="AA899" s="92">
        <f>ROUND($B899*AA$876,2)</f>
        <v>0</v>
      </c>
      <c r="AB899" s="19">
        <f>SUM(U$876:AA$876)+(-V$876+V885)</f>
        <v>-7.6299999999999996E-3</v>
      </c>
      <c r="AC899" s="105" t="str">
        <f t="shared" si="62"/>
        <v>HL27</v>
      </c>
    </row>
    <row r="900" spans="1:252" ht="13" x14ac:dyDescent="0.3">
      <c r="B900" s="103">
        <v>-1</v>
      </c>
      <c r="D900" s="32"/>
      <c r="E900" s="103"/>
      <c r="F900" s="36"/>
      <c r="G900" s="92"/>
      <c r="H900" s="19" t="e">
        <f>IF(ISBLANK(B900),0,+#REF!/B900)</f>
        <v>#REF!</v>
      </c>
      <c r="J900" s="109">
        <f t="shared" si="59"/>
        <v>215</v>
      </c>
      <c r="K900" s="92">
        <f t="shared" si="60"/>
        <v>-0.04</v>
      </c>
      <c r="L900" s="92">
        <f>IF(ISBLANK($E900),0,IF($E900&lt;$C$877,ROUND($C$877*$L$876,2),IF($E900&gt;L$877,ROUND(L$877*L$876,2),ROUND($E900*L$876,2))))</f>
        <v>0</v>
      </c>
      <c r="M900" s="92">
        <f>IF($E900&gt;L$877,ROUND(($E900-L$877)*M$876,2),0)</f>
        <v>0</v>
      </c>
      <c r="N900" s="92"/>
      <c r="O900" s="92"/>
      <c r="P900" s="92"/>
      <c r="Q900" s="92"/>
      <c r="R900" s="16" t="e">
        <f>VLOOKUP((D901),'Pwr Factor'!$A$1:$B$52,2)</f>
        <v>#N/A</v>
      </c>
      <c r="S900" s="50">
        <v>1</v>
      </c>
      <c r="T900" s="92"/>
      <c r="U900" s="92"/>
      <c r="V900" s="32"/>
      <c r="W900" s="92"/>
      <c r="X900" s="92"/>
      <c r="Y900" s="92"/>
      <c r="Z900" s="92"/>
      <c r="AA900" s="92"/>
      <c r="AB900" s="19"/>
      <c r="AC900" s="105">
        <f t="shared" si="62"/>
        <v>0</v>
      </c>
    </row>
    <row r="901" spans="1:252" ht="13" x14ac:dyDescent="0.3">
      <c r="A901" s="1" t="s">
        <v>148</v>
      </c>
      <c r="B901" s="103">
        <f>IF(AND('AES Indiana Bill Calc.'!$D$17="HL2",'AES Indiana Bill Calc.'!$D$18="Yes 100%",'AES Indiana Bill Calc.'!$D$20="Yes 2018"),'AES Indiana Bill Calc.'!$D$19,-1)</f>
        <v>-1</v>
      </c>
      <c r="C901" s="103">
        <f>MAX(E901,$C$769)</f>
        <v>2000</v>
      </c>
      <c r="D901" s="103" t="b">
        <f>IF(AND('AES Indiana Bill Calc.'!$D$17="HL2",'AES Indiana Bill Calc.'!$D$18="Yes 100%",'AES Indiana Bill Calc.'!$D$20="Yes 2018"),'AES Indiana Bill Calc.'!$D$22)</f>
        <v>0</v>
      </c>
      <c r="E901" s="103" t="b">
        <f>IF(AND('AES Indiana Bill Calc.'!$D$17="HL2",'AES Indiana Bill Calc.'!$D$18="Yes 100%",'AES Indiana Bill Calc.'!$D$20="Yes 2018"),'AES Indiana Bill Calc.'!$D$21)</f>
        <v>0</v>
      </c>
      <c r="F901" s="36" t="s">
        <v>242</v>
      </c>
      <c r="G901" s="92" t="e">
        <f>SUM(J901:M901,R901:AA901)</f>
        <v>#N/A</v>
      </c>
      <c r="H901" s="19" t="e">
        <f>IF(ISBLANK(B901),0,+#REF!/B901)</f>
        <v>#REF!</v>
      </c>
      <c r="J901" s="109">
        <f t="shared" si="59"/>
        <v>215</v>
      </c>
      <c r="K901" s="92">
        <f t="shared" si="60"/>
        <v>-0.04</v>
      </c>
      <c r="L901" s="17">
        <f>IF(ISBLANK($C901),0,IF($C901&lt;$C$877,ROUND($C$877*$L$876,2),IF($C901&gt;L$877,ROUND(L$877*L$876,2),ROUND($C901*L$876,2))))</f>
        <v>50000</v>
      </c>
      <c r="M901" s="17">
        <f>IF($C901&gt;L$877,ROUND(($C901-L$877)*M$876,2),0)</f>
        <v>0</v>
      </c>
      <c r="N901" s="17">
        <f>K901</f>
        <v>-0.04</v>
      </c>
      <c r="O901" s="92"/>
      <c r="P901" s="92"/>
      <c r="Q901" s="17">
        <f>SUM(L901:M901)</f>
        <v>50000</v>
      </c>
      <c r="R901" s="110" t="e">
        <f>ROUND(SUM(K901:M901)*(R900-1),2)</f>
        <v>#N/A</v>
      </c>
      <c r="S901" s="92">
        <f>ROUND($B901*S$876*S900,2)</f>
        <v>0</v>
      </c>
      <c r="T901" s="92">
        <f>ROUND($B901*T$876,2)</f>
        <v>0.01</v>
      </c>
      <c r="U901" s="92">
        <f>ROUND($B901*U$876,2)</f>
        <v>0</v>
      </c>
      <c r="V901" s="32">
        <f>ROUND($B901*$V$869,2)</f>
        <v>0</v>
      </c>
      <c r="W901" s="92">
        <f>ROUND($B901*W$876,2)</f>
        <v>0</v>
      </c>
      <c r="X901" s="92">
        <f>ROUND($B901*X$876,2)</f>
        <v>0</v>
      </c>
      <c r="Y901" s="92">
        <f>ROUND($B901*Y$876,2)</f>
        <v>0</v>
      </c>
      <c r="Z901" s="92">
        <f>ROUND($B901*Z$876,2)</f>
        <v>0</v>
      </c>
      <c r="AA901" s="92">
        <f>ROUND($B901*AA$876,2)</f>
        <v>0</v>
      </c>
      <c r="AB901" s="19">
        <f>SUM(U$876:AA$876)+(-V$876+V887)</f>
        <v>-7.6299999999999996E-3</v>
      </c>
      <c r="AC901" s="105" t="str">
        <f t="shared" si="62"/>
        <v>HL28</v>
      </c>
    </row>
    <row r="902" spans="1:252" ht="13" x14ac:dyDescent="0.3">
      <c r="A902" s="9"/>
      <c r="B902" s="103">
        <v>-1</v>
      </c>
      <c r="D902" s="32"/>
      <c r="E902" s="103"/>
      <c r="F902" s="36"/>
      <c r="G902" s="92"/>
      <c r="H902" s="19" t="e">
        <f>IF(ISBLANK(B902),0,+#REF!/B902)</f>
        <v>#REF!</v>
      </c>
      <c r="J902" s="109">
        <f t="shared" si="59"/>
        <v>215</v>
      </c>
      <c r="K902" s="92">
        <f t="shared" si="60"/>
        <v>-0.04</v>
      </c>
      <c r="L902" s="92">
        <f>IF(ISBLANK($E902),0,IF($E902&lt;$C$877,ROUND($C$877*$L$876,2),IF($E902&gt;L$877,ROUND(L$877*L$876,2),ROUND($E902*L$876,2))))</f>
        <v>0</v>
      </c>
      <c r="M902" s="92">
        <f>IF($E902&gt;L$877,ROUND(($E902-L$877)*M$876,2),0)</f>
        <v>0</v>
      </c>
      <c r="N902" s="92"/>
      <c r="O902" s="92"/>
      <c r="P902" s="92"/>
      <c r="Q902" s="92"/>
      <c r="R902" s="16" t="e">
        <f>VLOOKUP((D903),'Pwr Factor'!$A$1:$B$52,2)</f>
        <v>#N/A</v>
      </c>
      <c r="S902" s="50">
        <v>0.5</v>
      </c>
      <c r="T902" s="92"/>
      <c r="U902" s="92"/>
      <c r="V902" s="32"/>
      <c r="W902" s="92"/>
      <c r="X902" s="92"/>
      <c r="Y902" s="92"/>
      <c r="Z902" s="92"/>
      <c r="AA902" s="92"/>
      <c r="AB902" s="19"/>
      <c r="AC902" s="105">
        <f t="shared" si="62"/>
        <v>0</v>
      </c>
    </row>
    <row r="903" spans="1:252" ht="13" x14ac:dyDescent="0.3">
      <c r="A903" s="1" t="s">
        <v>149</v>
      </c>
      <c r="B903" s="103">
        <f>IF(AND('AES Indiana Bill Calc.'!$D$17="HL2",'AES Indiana Bill Calc.'!$D$18="Yes 50%",'AES Indiana Bill Calc.'!$D$20="Yes 2018"),'AES Indiana Bill Calc.'!$D$19,-1)</f>
        <v>-1</v>
      </c>
      <c r="C903" s="103">
        <f>MAX(E903,$C$769)</f>
        <v>2000</v>
      </c>
      <c r="D903" s="103" t="b">
        <f>IF(AND('AES Indiana Bill Calc.'!$D$17="HL2",'AES Indiana Bill Calc.'!$D$18="Yes 50%",'AES Indiana Bill Calc.'!$D$20="Yes 2018"),'AES Indiana Bill Calc.'!$D$22)</f>
        <v>0</v>
      </c>
      <c r="E903" s="103" t="b">
        <f>IF(AND('AES Indiana Bill Calc.'!$D$17="HL2",'AES Indiana Bill Calc.'!$D$18="Yes 50%",'AES Indiana Bill Calc.'!$D$20="Yes 2018"),'AES Indiana Bill Calc.'!$D$21)</f>
        <v>0</v>
      </c>
      <c r="F903" s="36" t="s">
        <v>242</v>
      </c>
      <c r="G903" s="92" t="e">
        <f>SUM(J903:M903,R903:AA903)</f>
        <v>#N/A</v>
      </c>
      <c r="H903" s="19" t="e">
        <f>IF(ISBLANK(B903),0,+#REF!/B903)</f>
        <v>#REF!</v>
      </c>
      <c r="J903" s="109">
        <f t="shared" si="59"/>
        <v>215</v>
      </c>
      <c r="K903" s="92">
        <f t="shared" si="60"/>
        <v>-0.04</v>
      </c>
      <c r="L903" s="17">
        <f>IF(ISBLANK($C903),0,IF($C903&lt;$C$877,ROUND($C$877*$L$876,2),IF($C903&gt;L$877,ROUND(L$877*L$876,2),ROUND($C903*L$876,2))))</f>
        <v>50000</v>
      </c>
      <c r="M903" s="17">
        <f>IF($C903&gt;L$877,ROUND(($C903-L$877)*M$876,2),0)</f>
        <v>0</v>
      </c>
      <c r="N903" s="17">
        <f>K903</f>
        <v>-0.04</v>
      </c>
      <c r="O903" s="92"/>
      <c r="P903" s="92"/>
      <c r="Q903" s="17">
        <f>SUM(L903:M903)</f>
        <v>50000</v>
      </c>
      <c r="R903" s="110" t="e">
        <f>ROUND(SUM(K903:M903)*(R902-1),2)</f>
        <v>#N/A</v>
      </c>
      <c r="S903" s="92">
        <f>ROUND($B903*S$876*S902,2)</f>
        <v>0</v>
      </c>
      <c r="T903" s="92">
        <f>ROUND($B903*T$876,2)</f>
        <v>0.01</v>
      </c>
      <c r="U903" s="92">
        <f>ROUND($B903*U$876,2)</f>
        <v>0</v>
      </c>
      <c r="V903" s="32">
        <f>ROUND($B903*$V$869,2)</f>
        <v>0</v>
      </c>
      <c r="W903" s="92">
        <f>ROUND($B903*W$876,2)</f>
        <v>0</v>
      </c>
      <c r="X903" s="92">
        <f>ROUND($B903*X$876,2)</f>
        <v>0</v>
      </c>
      <c r="Y903" s="92">
        <f>ROUND($B903*Y$876,2)</f>
        <v>0</v>
      </c>
      <c r="Z903" s="92">
        <f>ROUND($B903*Z$876,2)</f>
        <v>0</v>
      </c>
      <c r="AA903" s="92">
        <f>ROUND($B903*AA$876,2)</f>
        <v>0</v>
      </c>
      <c r="AB903" s="19">
        <f>SUM(U$876:AA$876)+(-V$876+V889)</f>
        <v>-7.6299999999999996E-3</v>
      </c>
      <c r="AC903" s="105" t="str">
        <f t="shared" si="62"/>
        <v>HL28</v>
      </c>
    </row>
    <row r="904" spans="1:252" ht="13" x14ac:dyDescent="0.3">
      <c r="A904" s="9"/>
      <c r="B904" s="103">
        <v>-1</v>
      </c>
      <c r="D904" s="32"/>
      <c r="E904" s="103"/>
      <c r="F904" s="36"/>
      <c r="G904" s="92"/>
      <c r="H904" s="19" t="e">
        <f>IF(ISBLANK(B904),0,+#REF!/B904)</f>
        <v>#REF!</v>
      </c>
      <c r="J904" s="109">
        <f t="shared" si="59"/>
        <v>215</v>
      </c>
      <c r="K904" s="92">
        <f t="shared" si="60"/>
        <v>-0.04</v>
      </c>
      <c r="L904" s="92">
        <f>IF(ISBLANK($E904),0,IF($E904&lt;$C$877,ROUND($C$877*$L$876,2),IF($E904&gt;L$877,ROUND(L$877*L$876,2),ROUND($E904*L$876,2))))</f>
        <v>0</v>
      </c>
      <c r="M904" s="92">
        <f>IF($E904&gt;L$877,ROUND(($E904-L$877)*M$876,2),0)</f>
        <v>0</v>
      </c>
      <c r="N904" s="92"/>
      <c r="O904" s="92"/>
      <c r="P904" s="92"/>
      <c r="Q904" s="92"/>
      <c r="R904" s="16" t="e">
        <f>VLOOKUP((D905),'Pwr Factor'!$A$1:$B$52,2)</f>
        <v>#N/A</v>
      </c>
      <c r="S904" s="50">
        <v>0.25</v>
      </c>
      <c r="T904" s="92"/>
      <c r="U904" s="92"/>
      <c r="V904" s="32"/>
      <c r="W904" s="92"/>
      <c r="X904" s="92"/>
      <c r="Y904" s="92"/>
      <c r="Z904" s="92"/>
      <c r="AA904" s="92"/>
      <c r="AB904" s="19"/>
      <c r="AC904" s="105">
        <f t="shared" si="62"/>
        <v>0</v>
      </c>
    </row>
    <row r="905" spans="1:252" ht="13" x14ac:dyDescent="0.3">
      <c r="A905" s="1" t="s">
        <v>150</v>
      </c>
      <c r="B905" s="103">
        <f>IF(AND('AES Indiana Bill Calc.'!$D$17="HL2",'AES Indiana Bill Calc.'!$D$18="Yes 25%",'AES Indiana Bill Calc.'!$D$20="Yes 2018"),'AES Indiana Bill Calc.'!$D$19,-1)</f>
        <v>-1</v>
      </c>
      <c r="C905" s="103">
        <f>MAX(E905,$C$769)</f>
        <v>2000</v>
      </c>
      <c r="D905" s="103" t="b">
        <f>IF(AND('AES Indiana Bill Calc.'!$D$17="HL2",'AES Indiana Bill Calc.'!$D$18="Yes 25%",'AES Indiana Bill Calc.'!$D$20="Yes 2018"),'AES Indiana Bill Calc.'!$D$22)</f>
        <v>0</v>
      </c>
      <c r="E905" s="103" t="b">
        <f>IF(AND('AES Indiana Bill Calc.'!$D$17="HL2",'AES Indiana Bill Calc.'!$D$18="Yes 25%",'AES Indiana Bill Calc.'!$D$20="Yes 2018"),'AES Indiana Bill Calc.'!$D$21)</f>
        <v>0</v>
      </c>
      <c r="F905" s="36" t="s">
        <v>242</v>
      </c>
      <c r="G905" s="92" t="e">
        <f>SUM(J905:M905,R905:AA905)</f>
        <v>#N/A</v>
      </c>
      <c r="H905" s="19" t="e">
        <f>IF(ISBLANK(B905),0,+#REF!/B905)</f>
        <v>#REF!</v>
      </c>
      <c r="J905" s="109">
        <f t="shared" si="59"/>
        <v>215</v>
      </c>
      <c r="K905" s="92">
        <f t="shared" si="60"/>
        <v>-0.04</v>
      </c>
      <c r="L905" s="17">
        <f>IF(ISBLANK($C905),0,IF($C905&lt;$C$877,ROUND($C$877*$L$876,2),IF($C905&gt;L$877,ROUND(L$877*L$876,2),ROUND($C905*L$876,2))))</f>
        <v>50000</v>
      </c>
      <c r="M905" s="17">
        <f>IF($C905&gt;L$877,ROUND(($C905-L$877)*M$876,2),0)</f>
        <v>0</v>
      </c>
      <c r="N905" s="17">
        <f>K905</f>
        <v>-0.04</v>
      </c>
      <c r="O905" s="92"/>
      <c r="P905" s="92"/>
      <c r="Q905" s="17">
        <f>SUM(L905:M905)</f>
        <v>50000</v>
      </c>
      <c r="R905" s="110" t="e">
        <f>ROUND(SUM(K905:M905)*(R904-1),2)</f>
        <v>#N/A</v>
      </c>
      <c r="S905" s="92">
        <f>ROUND($B905*S$876*S904,2)</f>
        <v>0</v>
      </c>
      <c r="T905" s="92">
        <f>ROUND($B905*T$876,2)</f>
        <v>0.01</v>
      </c>
      <c r="U905" s="92">
        <f>ROUND($B905*U$876,2)</f>
        <v>0</v>
      </c>
      <c r="V905" s="32">
        <f>ROUND($B905*$V$869,2)</f>
        <v>0</v>
      </c>
      <c r="W905" s="92">
        <f>ROUND($B905*W$876,2)</f>
        <v>0</v>
      </c>
      <c r="X905" s="92">
        <f>ROUND($B905*X$876,2)</f>
        <v>0</v>
      </c>
      <c r="Y905" s="92">
        <f>ROUND($B905*Y$876,2)</f>
        <v>0</v>
      </c>
      <c r="Z905" s="92">
        <f>ROUND($B905*Z$876,2)</f>
        <v>0</v>
      </c>
      <c r="AA905" s="92">
        <f>ROUND($B905*AA$876,2)</f>
        <v>0</v>
      </c>
      <c r="AB905" s="19">
        <f>SUM(U$876:AA$876)+(-V$876+V891)</f>
        <v>2.3699999999999997E-3</v>
      </c>
      <c r="AC905" s="105" t="str">
        <f t="shared" si="62"/>
        <v>HL28</v>
      </c>
    </row>
    <row r="906" spans="1:252" ht="13" x14ac:dyDescent="0.3">
      <c r="A906" s="9"/>
      <c r="B906" s="103">
        <v>-1</v>
      </c>
      <c r="D906" s="32"/>
      <c r="E906" s="103"/>
      <c r="F906" s="36"/>
      <c r="G906" s="92"/>
      <c r="H906" s="19" t="e">
        <f>IF(ISBLANK(B906),0,+#REF!/B906)</f>
        <v>#REF!</v>
      </c>
      <c r="J906" s="109">
        <f t="shared" si="59"/>
        <v>215</v>
      </c>
      <c r="K906" s="92">
        <f t="shared" si="60"/>
        <v>-0.04</v>
      </c>
      <c r="L906" s="92">
        <f>IF(ISBLANK($E906),0,IF($E906&lt;$C$877,ROUND($C$877*$L$876,2),IF($E906&gt;L$877,ROUND(L$877*L$876,2),ROUND($E906*L$876,2))))</f>
        <v>0</v>
      </c>
      <c r="M906" s="92">
        <f>IF($E906&gt;L$877,ROUND(($E906-L$877)*M$876,2),0)</f>
        <v>0</v>
      </c>
      <c r="N906" s="92"/>
      <c r="O906" s="92"/>
      <c r="P906" s="92"/>
      <c r="Q906" s="92"/>
      <c r="R906" s="16" t="e">
        <f>VLOOKUP((D907),'Pwr Factor'!$A$1:$B$52,2)</f>
        <v>#N/A</v>
      </c>
      <c r="S906" s="50">
        <v>0.1</v>
      </c>
      <c r="T906" s="92"/>
      <c r="U906" s="92"/>
      <c r="V906" s="32"/>
      <c r="W906" s="92"/>
      <c r="X906" s="92"/>
      <c r="Y906" s="92"/>
      <c r="Z906" s="92"/>
      <c r="AA906" s="92"/>
      <c r="AB906" s="19"/>
      <c r="AC906" s="105">
        <f t="shared" si="62"/>
        <v>0</v>
      </c>
    </row>
    <row r="907" spans="1:252" ht="13" x14ac:dyDescent="0.3">
      <c r="A907" s="1" t="s">
        <v>164</v>
      </c>
      <c r="B907" s="103">
        <f>IF(AND('AES Indiana Bill Calc.'!$D$17="HL2",'AES Indiana Bill Calc.'!$D$18="Yes 10%",'AES Indiana Bill Calc.'!$D$20="Yes 2018"),'AES Indiana Bill Calc.'!$D$19,-1)</f>
        <v>-1</v>
      </c>
      <c r="C907" s="103">
        <f>MAX(E907,$C$769)</f>
        <v>2000</v>
      </c>
      <c r="D907" s="103" t="b">
        <f>IF(AND('AES Indiana Bill Calc.'!$D$17="HL2",'AES Indiana Bill Calc.'!$D$18="Yes 10%",'AES Indiana Bill Calc.'!$D$20="Yes 2018"),'AES Indiana Bill Calc.'!$D$22)</f>
        <v>0</v>
      </c>
      <c r="E907" s="103" t="b">
        <f>IF(AND('AES Indiana Bill Calc.'!$D$17="HL2",'AES Indiana Bill Calc.'!$D$18="Yes 10%",'AES Indiana Bill Calc.'!$D$20="Yes 2018"),'AES Indiana Bill Calc.'!$D$21)</f>
        <v>0</v>
      </c>
      <c r="F907" s="36" t="s">
        <v>242</v>
      </c>
      <c r="G907" s="92" t="e">
        <f>SUM(J907:M907,R907:AA907)</f>
        <v>#N/A</v>
      </c>
      <c r="H907" s="19" t="e">
        <f>IF(ISBLANK(B907),0,+#REF!/B907)</f>
        <v>#REF!</v>
      </c>
      <c r="J907" s="109">
        <f t="shared" si="59"/>
        <v>215</v>
      </c>
      <c r="K907" s="92">
        <f t="shared" si="60"/>
        <v>-0.04</v>
      </c>
      <c r="L907" s="17">
        <f>IF(ISBLANK($C907),0,IF($C907&lt;$C$877,ROUND($C$877*$L$876,2),IF($C907&gt;L$877,ROUND(L$877*L$876,2),ROUND($C907*L$876,2))))</f>
        <v>50000</v>
      </c>
      <c r="M907" s="17">
        <f>IF($C907&gt;L$877,ROUND(($C907-L$877)*M$876,2),0)</f>
        <v>0</v>
      </c>
      <c r="N907" s="17">
        <f>K907</f>
        <v>-0.04</v>
      </c>
      <c r="O907" s="92"/>
      <c r="P907" s="92"/>
      <c r="Q907" s="17">
        <f>SUM(L907:M907)</f>
        <v>50000</v>
      </c>
      <c r="R907" s="110" t="e">
        <f>ROUND(SUM(K907:M907)*(R906-1),2)</f>
        <v>#N/A</v>
      </c>
      <c r="S907" s="92">
        <f>ROUND($B907*S$876*S906,2)</f>
        <v>0</v>
      </c>
      <c r="T907" s="92">
        <f>ROUND($B907*T$876,2)</f>
        <v>0.01</v>
      </c>
      <c r="U907" s="92">
        <f>ROUND($B907*U$876,2)</f>
        <v>0</v>
      </c>
      <c r="V907" s="32">
        <f>ROUND($B907*$V$869,2)</f>
        <v>0</v>
      </c>
      <c r="W907" s="92">
        <f>ROUND($B907*W$876,2)</f>
        <v>0</v>
      </c>
      <c r="X907" s="92">
        <f>ROUND($B907*X$876,2)</f>
        <v>0</v>
      </c>
      <c r="Y907" s="92">
        <f>ROUND($B907*Y$876,2)</f>
        <v>0</v>
      </c>
      <c r="Z907" s="92">
        <f>ROUND($B907*Z$876,2)</f>
        <v>0</v>
      </c>
      <c r="AA907" s="92">
        <f>ROUND($B907*AA$876,2)</f>
        <v>0</v>
      </c>
      <c r="AB907" s="19">
        <f>SUM(U$876:AA$876)+(-V$876+V893)</f>
        <v>2.3699999999999997E-3</v>
      </c>
      <c r="AC907" s="105" t="str">
        <f t="shared" si="62"/>
        <v>HL28</v>
      </c>
    </row>
    <row r="908" spans="1:252" ht="13" x14ac:dyDescent="0.3">
      <c r="A908" s="9"/>
      <c r="B908" s="103">
        <v>-1</v>
      </c>
      <c r="D908" s="32"/>
      <c r="E908" s="103"/>
      <c r="F908" s="36"/>
      <c r="G908" s="92"/>
      <c r="H908" s="19" t="e">
        <f>IF(ISBLANK(B908),0,+#REF!/B908)</f>
        <v>#REF!</v>
      </c>
      <c r="J908" s="109">
        <f t="shared" si="59"/>
        <v>215</v>
      </c>
      <c r="K908" s="92">
        <f t="shared" si="60"/>
        <v>-0.04</v>
      </c>
      <c r="L908" s="92">
        <f>IF(ISBLANK($E908),0,IF($E908&lt;$C$877,ROUND($C$877*$L$876,2),IF($E908&gt;L$877,ROUND(L$877*L$876,2),ROUND($E908*L$876,2))))</f>
        <v>0</v>
      </c>
      <c r="M908" s="92">
        <f>IF($E908&gt;L$877,ROUND(($E908-L$877)*M$876,2),0)</f>
        <v>0</v>
      </c>
      <c r="N908" s="92"/>
      <c r="O908" s="92"/>
      <c r="P908" s="92"/>
      <c r="Q908" s="92"/>
      <c r="R908" s="16" t="e">
        <f>VLOOKUP((D909),'Pwr Factor'!$A$1:$B$52,2)</f>
        <v>#N/A</v>
      </c>
      <c r="S908" s="50">
        <v>0</v>
      </c>
      <c r="T908" s="92"/>
      <c r="U908" s="92"/>
      <c r="V908" s="32"/>
      <c r="W908" s="92"/>
      <c r="X908" s="92"/>
      <c r="Y908" s="92"/>
      <c r="Z908" s="92"/>
      <c r="AA908" s="92"/>
      <c r="AB908" s="19"/>
      <c r="AC908" s="105">
        <f t="shared" si="62"/>
        <v>0</v>
      </c>
    </row>
    <row r="909" spans="1:252" ht="13" x14ac:dyDescent="0.3">
      <c r="A909" s="1" t="s">
        <v>147</v>
      </c>
      <c r="B909" s="103">
        <f>IF(AND('AES Indiana Bill Calc.'!$D$17="HL2",'AES Indiana Bill Calc.'!$D$18="No",'AES Indiana Bill Calc.'!$D$20="Yes 2018"),'AES Indiana Bill Calc.'!$D$19,-1)</f>
        <v>-1</v>
      </c>
      <c r="C909" s="103">
        <f>MAX(E909,$C$769)</f>
        <v>2000</v>
      </c>
      <c r="D909" s="103" t="b">
        <f>IF(AND('AES Indiana Bill Calc.'!$D$17="HL2",'AES Indiana Bill Calc.'!$D$18="No",'AES Indiana Bill Calc.'!$D$20="Yes 2018"),'AES Indiana Bill Calc.'!$D$22)</f>
        <v>0</v>
      </c>
      <c r="E909" s="103" t="b">
        <f>IF(AND('AES Indiana Bill Calc.'!$D$17="HL2",'AES Indiana Bill Calc.'!$D$18="No",'AES Indiana Bill Calc.'!$D$20="Yes 2018"),'AES Indiana Bill Calc.'!$D$21)</f>
        <v>0</v>
      </c>
      <c r="F909" s="36" t="s">
        <v>242</v>
      </c>
      <c r="G909" s="92" t="e">
        <f>SUM(J909:M909,R909:AA909)</f>
        <v>#N/A</v>
      </c>
      <c r="H909" s="19" t="e">
        <f>IF(ISBLANK(B909),0,+#REF!/B909)</f>
        <v>#REF!</v>
      </c>
      <c r="J909" s="109">
        <f t="shared" si="59"/>
        <v>215</v>
      </c>
      <c r="K909" s="92">
        <f t="shared" si="60"/>
        <v>-0.04</v>
      </c>
      <c r="L909" s="17">
        <f>IF(ISBLANK($C909),0,IF($C909&lt;$C$877,ROUND($C$877*$L$876,2),IF($C909&gt;L$877,ROUND(L$877*L$876,2),ROUND($C909*L$876,2))))</f>
        <v>50000</v>
      </c>
      <c r="M909" s="17">
        <f>IF($C909&gt;L$877,ROUND(($C909-L$877)*M$876,2),0)</f>
        <v>0</v>
      </c>
      <c r="N909" s="17">
        <f>K909</f>
        <v>-0.04</v>
      </c>
      <c r="O909" s="92"/>
      <c r="P909" s="92"/>
      <c r="Q909" s="17">
        <f>SUM(L909:M909)</f>
        <v>50000</v>
      </c>
      <c r="R909" s="110" t="e">
        <f>ROUND(SUM(K909:M909)*(R908-1),2)</f>
        <v>#N/A</v>
      </c>
      <c r="S909" s="92">
        <f>ROUND($B909*S$876*S908,2)</f>
        <v>0</v>
      </c>
      <c r="T909" s="92">
        <f>ROUND($B909*T$876,2)</f>
        <v>0.01</v>
      </c>
      <c r="U909" s="92">
        <f>ROUND($B909*U$876,2)</f>
        <v>0</v>
      </c>
      <c r="V909" s="32">
        <f>ROUND($B909*$V$869,2)</f>
        <v>0</v>
      </c>
      <c r="W909" s="92">
        <f>ROUND($B909*W$876,2)</f>
        <v>0</v>
      </c>
      <c r="X909" s="92">
        <f>ROUND($B909*X$876,2)</f>
        <v>0</v>
      </c>
      <c r="Y909" s="92">
        <f>ROUND($B909*Y$876,2)</f>
        <v>0</v>
      </c>
      <c r="Z909" s="92">
        <f>ROUND($B909*Z$876,2)</f>
        <v>0</v>
      </c>
      <c r="AA909" s="92">
        <f>ROUND($B909*AA$876,2)</f>
        <v>0</v>
      </c>
      <c r="AB909" s="19">
        <f>SUM(U$876:AA$876)+(-V$876+V895)</f>
        <v>2.3699999999999997E-3</v>
      </c>
      <c r="AC909" s="105" t="str">
        <f t="shared" si="62"/>
        <v>HL28</v>
      </c>
    </row>
    <row r="910" spans="1:252" ht="13" x14ac:dyDescent="0.3">
      <c r="B910" s="103">
        <v>-1</v>
      </c>
      <c r="D910" s="32"/>
      <c r="E910" s="103"/>
      <c r="F910" s="36"/>
      <c r="G910" s="92"/>
      <c r="H910" s="19" t="e">
        <f>IF(ISBLANK(B910),0,+#REF!/B910)</f>
        <v>#REF!</v>
      </c>
      <c r="J910" s="109">
        <f t="shared" si="59"/>
        <v>215</v>
      </c>
      <c r="K910" s="92">
        <f t="shared" si="60"/>
        <v>-0.04</v>
      </c>
      <c r="L910" s="92">
        <f>IF(ISBLANK($E910),0,IF($E910&lt;$C$877,ROUND($C$877*$L$876,2),IF($E910&gt;L$877,ROUND(L$877*L$876,2),ROUND($E910*L$876,2))))</f>
        <v>0</v>
      </c>
      <c r="M910" s="92">
        <f>IF($E910&gt;L$877,ROUND(($E910-L$877)*M$876,2),0)</f>
        <v>0</v>
      </c>
      <c r="N910" s="92"/>
      <c r="O910" s="92"/>
      <c r="P910" s="92"/>
      <c r="Q910" s="92"/>
      <c r="R910" s="16" t="e">
        <f>VLOOKUP((D911),'Pwr Factor'!$A$1:$B$52,2)</f>
        <v>#N/A</v>
      </c>
      <c r="S910" s="50">
        <v>1</v>
      </c>
      <c r="T910" s="92"/>
      <c r="U910" s="92"/>
      <c r="V910" s="32"/>
      <c r="W910" s="92"/>
      <c r="X910" s="92"/>
      <c r="Y910" s="92"/>
      <c r="Z910" s="92"/>
      <c r="AA910" s="92"/>
      <c r="AB910" s="19"/>
      <c r="AC910" s="105">
        <f t="shared" si="62"/>
        <v>0</v>
      </c>
    </row>
    <row r="911" spans="1:252" s="21" customFormat="1" ht="13.5" thickBot="1" x14ac:dyDescent="0.35">
      <c r="A911" s="1" t="s">
        <v>148</v>
      </c>
      <c r="B911" s="103">
        <f>IF(AND('AES Indiana Bill Calc.'!$D$17="HL2",'AES Indiana Bill Calc.'!$D$18="Yes 100%",'AES Indiana Bill Calc.'!$D$20="Yes 2019"),'AES Indiana Bill Calc.'!$D$19,-1)</f>
        <v>-1</v>
      </c>
      <c r="C911" s="103">
        <f>MAX(E911,$C$769)</f>
        <v>2000</v>
      </c>
      <c r="D911" s="103" t="b">
        <f>IF(AND('AES Indiana Bill Calc.'!$D$17="HL2",'AES Indiana Bill Calc.'!$D$18="Yes 100%",'AES Indiana Bill Calc.'!$D$20="Yes 2019"),'AES Indiana Bill Calc.'!$D$22)</f>
        <v>0</v>
      </c>
      <c r="E911" s="103" t="b">
        <f>IF(AND('AES Indiana Bill Calc.'!$D$17="HL2",'AES Indiana Bill Calc.'!$D$18="Yes 100%",'AES Indiana Bill Calc.'!$D$20="Yes 2019"),'AES Indiana Bill Calc.'!$D$21)</f>
        <v>0</v>
      </c>
      <c r="F911" s="36" t="s">
        <v>243</v>
      </c>
      <c r="G911" s="92" t="e">
        <f>SUM(J911:M911,R911:AA911)</f>
        <v>#N/A</v>
      </c>
      <c r="H911" s="19" t="e">
        <f>IF(ISBLANK(B911),0,+#REF!/B911)</f>
        <v>#REF!</v>
      </c>
      <c r="I911"/>
      <c r="J911" s="109">
        <f t="shared" si="59"/>
        <v>215</v>
      </c>
      <c r="K911" s="92">
        <f t="shared" si="60"/>
        <v>-0.04</v>
      </c>
      <c r="L911" s="17">
        <f>IF(ISBLANK($C911),0,IF($C911&lt;$C$877,ROUND($C$877*$L$876,2),IF($C911&gt;L$877,ROUND(L$877*L$876,2),ROUND($C911*L$876,2))))</f>
        <v>50000</v>
      </c>
      <c r="M911" s="17">
        <f>IF($C911&gt;L$877,ROUND(($C911-L$877)*M$876,2),0)</f>
        <v>0</v>
      </c>
      <c r="N911" s="17">
        <f>K911</f>
        <v>-0.04</v>
      </c>
      <c r="O911" s="92"/>
      <c r="P911" s="92"/>
      <c r="Q911" s="17">
        <f>SUM(L911:M911)</f>
        <v>50000</v>
      </c>
      <c r="R911" s="110" t="e">
        <f>ROUND(SUM(K911:M911)*(R910-1),2)</f>
        <v>#N/A</v>
      </c>
      <c r="S911" s="92">
        <f>ROUND($B911*S$876*S910,2)</f>
        <v>0</v>
      </c>
      <c r="T911" s="92">
        <f>ROUND($B911*T$876,2)</f>
        <v>0.01</v>
      </c>
      <c r="U911" s="92">
        <f>ROUND($B911*U$876,2)</f>
        <v>0</v>
      </c>
      <c r="V911" s="32">
        <f>ROUND($B911*$V$870,2)</f>
        <v>0</v>
      </c>
      <c r="W911" s="92">
        <f>ROUND($B911*W$876,2)</f>
        <v>0</v>
      </c>
      <c r="X911" s="92">
        <f>ROUND($B911*X$876,2)</f>
        <v>0</v>
      </c>
      <c r="Y911" s="92">
        <f>ROUND($B911*Y$876,2)</f>
        <v>0</v>
      </c>
      <c r="Z911" s="92">
        <f>ROUND($B911*Z$876,2)</f>
        <v>0</v>
      </c>
      <c r="AA911" s="92">
        <f>ROUND($B911*AA$876,2)</f>
        <v>0</v>
      </c>
      <c r="AB911" s="19">
        <f>SUM(U$876:AA$876)+(-V$876+V897)</f>
        <v>2.3699999999999997E-3</v>
      </c>
      <c r="AC911" s="105"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ht="13" x14ac:dyDescent="0.3">
      <c r="A912" s="9"/>
      <c r="B912" s="103">
        <v>-1</v>
      </c>
      <c r="D912" s="32"/>
      <c r="E912" s="103"/>
      <c r="F912" s="36"/>
      <c r="G912" s="92"/>
      <c r="H912" s="19" t="e">
        <f>IF(ISBLANK(B912),0,+#REF!/B912)</f>
        <v>#REF!</v>
      </c>
      <c r="J912" s="109">
        <f t="shared" si="59"/>
        <v>215</v>
      </c>
      <c r="K912" s="92">
        <f t="shared" si="60"/>
        <v>-0.04</v>
      </c>
      <c r="L912" s="92">
        <f>IF(ISBLANK($E912),0,IF($E912&lt;$C$877,ROUND($C$877*$L$876,2),IF($E912&gt;L$877,ROUND(L$877*L$876,2),ROUND($E912*L$876,2))))</f>
        <v>0</v>
      </c>
      <c r="M912" s="92">
        <f>IF($E912&gt;L$877,ROUND(($E912-L$877)*M$876,2),0)</f>
        <v>0</v>
      </c>
      <c r="N912" s="92"/>
      <c r="O912" s="92"/>
      <c r="P912" s="92"/>
      <c r="Q912" s="92"/>
      <c r="R912" s="16" t="e">
        <f>VLOOKUP((D913),'Pwr Factor'!$A$1:$B$52,2)</f>
        <v>#N/A</v>
      </c>
      <c r="S912" s="50">
        <v>0.5</v>
      </c>
      <c r="T912" s="92"/>
      <c r="U912" s="92"/>
      <c r="V912" s="32"/>
      <c r="W912" s="92"/>
      <c r="X912" s="92"/>
      <c r="Y912" s="92"/>
      <c r="Z912" s="92"/>
      <c r="AA912" s="92"/>
      <c r="AB912" s="19"/>
      <c r="AC912" s="105">
        <f t="shared" si="62"/>
        <v>0</v>
      </c>
    </row>
    <row r="913" spans="1:29" ht="13" x14ac:dyDescent="0.3">
      <c r="A913" s="1" t="s">
        <v>149</v>
      </c>
      <c r="B913" s="103">
        <f>IF(AND('AES Indiana Bill Calc.'!$D$17="HL2",'AES Indiana Bill Calc.'!$D$18="Yes 50%",'AES Indiana Bill Calc.'!$D$20="Yes 2019"),'AES Indiana Bill Calc.'!$D$19,-1)</f>
        <v>-1</v>
      </c>
      <c r="C913" s="103">
        <f>MAX(E913,$C$769)</f>
        <v>2000</v>
      </c>
      <c r="D913" s="103" t="b">
        <f>IF(AND('AES Indiana Bill Calc.'!$D$17="HL2",'AES Indiana Bill Calc.'!$D$18="Yes 50%",'AES Indiana Bill Calc.'!$D$20="Yes 2019"),'AES Indiana Bill Calc.'!$D$22)</f>
        <v>0</v>
      </c>
      <c r="E913" s="103" t="b">
        <f>IF(AND('AES Indiana Bill Calc.'!$D$17="HL2",'AES Indiana Bill Calc.'!$D$18="Yes 50%",'AES Indiana Bill Calc.'!$D$20="Yes 2019"),'AES Indiana Bill Calc.'!$D$21)</f>
        <v>0</v>
      </c>
      <c r="F913" s="36" t="s">
        <v>243</v>
      </c>
      <c r="G913" s="92" t="e">
        <f>SUM(J913:M913,R913:AA913)</f>
        <v>#N/A</v>
      </c>
      <c r="H913" s="19" t="e">
        <f>IF(ISBLANK(B913),0,+#REF!/B913)</f>
        <v>#REF!</v>
      </c>
      <c r="J913" s="109">
        <f t="shared" si="59"/>
        <v>215</v>
      </c>
      <c r="K913" s="92">
        <f t="shared" si="60"/>
        <v>-0.04</v>
      </c>
      <c r="L913" s="17">
        <f>IF(ISBLANK($C913),0,IF($C913&lt;$C$877,ROUND($C$877*$L$876,2),IF($C913&gt;L$877,ROUND(L$877*L$876,2),ROUND($C913*L$876,2))))</f>
        <v>50000</v>
      </c>
      <c r="M913" s="17">
        <f>IF($C913&gt;L$877,ROUND(($C913-L$877)*M$876,2),0)</f>
        <v>0</v>
      </c>
      <c r="N913" s="17">
        <f>K913</f>
        <v>-0.04</v>
      </c>
      <c r="O913" s="92"/>
      <c r="P913" s="92"/>
      <c r="Q913" s="17">
        <f>SUM(L913:M913)</f>
        <v>50000</v>
      </c>
      <c r="R913" s="110" t="e">
        <f>ROUND(SUM(K913:M913)*(R912-1),2)</f>
        <v>#N/A</v>
      </c>
      <c r="S913" s="92">
        <f>ROUND($B913*S$876*S912,2)</f>
        <v>0</v>
      </c>
      <c r="T913" s="92">
        <f>ROUND($B913*T$876,2)</f>
        <v>0.01</v>
      </c>
      <c r="U913" s="92">
        <f>ROUND($B913*U$876,2)</f>
        <v>0</v>
      </c>
      <c r="V913" s="32">
        <f>ROUND($B913*$V$870,2)</f>
        <v>0</v>
      </c>
      <c r="W913" s="92">
        <f>ROUND($B913*W$876,2)</f>
        <v>0</v>
      </c>
      <c r="X913" s="92">
        <f>ROUND($B913*X$876,2)</f>
        <v>0</v>
      </c>
      <c r="Y913" s="92">
        <f>ROUND($B913*Y$876,2)</f>
        <v>0</v>
      </c>
      <c r="Z913" s="92">
        <f>ROUND($B913*Z$876,2)</f>
        <v>0</v>
      </c>
      <c r="AA913" s="92">
        <f>ROUND($B913*AA$876,2)</f>
        <v>0</v>
      </c>
      <c r="AB913" s="19">
        <f>SUM(U$876:AA$876)+(-V$876+V899)</f>
        <v>2.3699999999999997E-3</v>
      </c>
      <c r="AC913" s="105" t="str">
        <f t="shared" si="62"/>
        <v>HL29</v>
      </c>
    </row>
    <row r="914" spans="1:29" ht="13" x14ac:dyDescent="0.3">
      <c r="A914" s="9"/>
      <c r="B914" s="103">
        <v>-1</v>
      </c>
      <c r="D914" s="32"/>
      <c r="E914" s="103"/>
      <c r="F914" s="36"/>
      <c r="G914" s="92"/>
      <c r="H914" s="19" t="e">
        <f>IF(ISBLANK(B914),0,+#REF!/B914)</f>
        <v>#REF!</v>
      </c>
      <c r="J914" s="109">
        <f t="shared" si="59"/>
        <v>215</v>
      </c>
      <c r="K914" s="92">
        <f t="shared" si="60"/>
        <v>-0.04</v>
      </c>
      <c r="L914" s="92">
        <f>IF(ISBLANK($E914),0,IF($E914&lt;$C$877,ROUND($C$877*$L$876,2),IF($E914&gt;L$877,ROUND(L$877*L$876,2),ROUND($E914*L$876,2))))</f>
        <v>0</v>
      </c>
      <c r="M914" s="92">
        <f>IF($E914&gt;L$877,ROUND(($E914-L$877)*M$876,2),0)</f>
        <v>0</v>
      </c>
      <c r="N914" s="92"/>
      <c r="O914" s="92"/>
      <c r="P914" s="92"/>
      <c r="Q914" s="92"/>
      <c r="R914" s="16" t="e">
        <f>VLOOKUP((D915),'Pwr Factor'!$A$1:$B$52,2)</f>
        <v>#N/A</v>
      </c>
      <c r="S914" s="50">
        <v>0.25</v>
      </c>
      <c r="T914" s="92"/>
      <c r="U914" s="92"/>
      <c r="V914" s="32"/>
      <c r="W914" s="92"/>
      <c r="X914" s="92"/>
      <c r="Y914" s="92"/>
      <c r="Z914" s="92"/>
      <c r="AA914" s="92"/>
      <c r="AB914" s="19"/>
      <c r="AC914" s="105">
        <f t="shared" si="62"/>
        <v>0</v>
      </c>
    </row>
    <row r="915" spans="1:29" ht="13" x14ac:dyDescent="0.3">
      <c r="A915" s="1" t="s">
        <v>150</v>
      </c>
      <c r="B915" s="103">
        <f>IF(AND('AES Indiana Bill Calc.'!$D$17="HL2",'AES Indiana Bill Calc.'!$D$18="Yes 25%",'AES Indiana Bill Calc.'!$D$20="Yes 2019"),'AES Indiana Bill Calc.'!$D$19,-1)</f>
        <v>-1</v>
      </c>
      <c r="C915" s="103">
        <f>MAX(E915,$C$769)</f>
        <v>2000</v>
      </c>
      <c r="D915" s="103" t="b">
        <f>IF(AND('AES Indiana Bill Calc.'!$D$17="HL2",'AES Indiana Bill Calc.'!$D$18="Yes 25%",'AES Indiana Bill Calc.'!$D$20="Yes 2019"),'AES Indiana Bill Calc.'!$D$22)</f>
        <v>0</v>
      </c>
      <c r="E915" s="103" t="b">
        <f>IF(AND('AES Indiana Bill Calc.'!$D$17="HL2",'AES Indiana Bill Calc.'!$D$18="Yes 25%",'AES Indiana Bill Calc.'!$D$20="Yes 2019"),'AES Indiana Bill Calc.'!$D$21)</f>
        <v>0</v>
      </c>
      <c r="F915" s="36" t="s">
        <v>243</v>
      </c>
      <c r="G915" s="92" t="e">
        <f>SUM(J915:M915,R915:AA915)</f>
        <v>#N/A</v>
      </c>
      <c r="H915" s="19" t="e">
        <f>IF(ISBLANK(B915),0,+#REF!/B915)</f>
        <v>#REF!</v>
      </c>
      <c r="J915" s="109">
        <f t="shared" si="59"/>
        <v>215</v>
      </c>
      <c r="K915" s="92">
        <f t="shared" si="60"/>
        <v>-0.04</v>
      </c>
      <c r="L915" s="17">
        <f>IF(ISBLANK($C915),0,IF($C915&lt;$C$877,ROUND($C$877*$L$876,2),IF($C915&gt;L$877,ROUND(L$877*L$876,2),ROUND($C915*L$876,2))))</f>
        <v>50000</v>
      </c>
      <c r="M915" s="17">
        <f>IF($C915&gt;L$877,ROUND(($C915-L$877)*M$876,2),0)</f>
        <v>0</v>
      </c>
      <c r="N915" s="17">
        <f>K915</f>
        <v>-0.04</v>
      </c>
      <c r="O915" s="92"/>
      <c r="P915" s="92"/>
      <c r="Q915" s="17">
        <f>SUM(L915:M915)</f>
        <v>50000</v>
      </c>
      <c r="R915" s="110" t="e">
        <f>ROUND(SUM(K915:M915)*(R914-1),2)</f>
        <v>#N/A</v>
      </c>
      <c r="S915" s="92">
        <f>ROUND($B915*S$876*S914,2)</f>
        <v>0</v>
      </c>
      <c r="T915" s="92">
        <f>ROUND($B915*T$876,2)</f>
        <v>0.01</v>
      </c>
      <c r="U915" s="92">
        <f>ROUND($B915*U$876,2)</f>
        <v>0</v>
      </c>
      <c r="V915" s="32">
        <f>ROUND($B915*$V$870,2)</f>
        <v>0</v>
      </c>
      <c r="W915" s="92">
        <f>ROUND($B915*W$876,2)</f>
        <v>0</v>
      </c>
      <c r="X915" s="92">
        <f>ROUND($B915*X$876,2)</f>
        <v>0</v>
      </c>
      <c r="Y915" s="92">
        <f>ROUND($B915*Y$876,2)</f>
        <v>0</v>
      </c>
      <c r="Z915" s="92">
        <f>ROUND($B915*Z$876,2)</f>
        <v>0</v>
      </c>
      <c r="AA915" s="92">
        <f>ROUND($B915*AA$876,2)</f>
        <v>0</v>
      </c>
      <c r="AB915" s="19">
        <f>SUM(U$876:AA$876)+(-V$876+V901)</f>
        <v>2.3699999999999997E-3</v>
      </c>
      <c r="AC915" s="105" t="str">
        <f t="shared" si="62"/>
        <v>HL29</v>
      </c>
    </row>
    <row r="916" spans="1:29" ht="13" x14ac:dyDescent="0.3">
      <c r="A916" s="9"/>
      <c r="B916" s="103">
        <v>-1</v>
      </c>
      <c r="D916" s="32"/>
      <c r="E916" s="103"/>
      <c r="F916" s="36"/>
      <c r="G916" s="92"/>
      <c r="H916" s="19" t="e">
        <f>IF(ISBLANK(B916),0,+#REF!/B916)</f>
        <v>#REF!</v>
      </c>
      <c r="J916" s="109">
        <f t="shared" si="59"/>
        <v>215</v>
      </c>
      <c r="K916" s="92">
        <f t="shared" si="60"/>
        <v>-0.04</v>
      </c>
      <c r="L916" s="92">
        <f>IF(ISBLANK($E916),0,IF($E916&lt;$C$877,ROUND($C$877*$L$876,2),IF($E916&gt;L$877,ROUND(L$877*L$876,2),ROUND($E916*L$876,2))))</f>
        <v>0</v>
      </c>
      <c r="M916" s="92">
        <f>IF($E916&gt;L$877,ROUND(($E916-L$877)*M$876,2),0)</f>
        <v>0</v>
      </c>
      <c r="N916" s="92"/>
      <c r="O916" s="92"/>
      <c r="P916" s="92"/>
      <c r="Q916" s="92"/>
      <c r="R916" s="16" t="e">
        <f>VLOOKUP((D917),'Pwr Factor'!$A$1:$B$52,2)</f>
        <v>#N/A</v>
      </c>
      <c r="S916" s="50">
        <v>0.1</v>
      </c>
      <c r="T916" s="92"/>
      <c r="U916" s="92"/>
      <c r="V916" s="32"/>
      <c r="W916" s="92"/>
      <c r="X916" s="92"/>
      <c r="Y916" s="92"/>
      <c r="Z916" s="92"/>
      <c r="AA916" s="92"/>
      <c r="AB916" s="19"/>
      <c r="AC916" s="105">
        <f t="shared" si="62"/>
        <v>0</v>
      </c>
    </row>
    <row r="917" spans="1:29" ht="13" x14ac:dyDescent="0.3">
      <c r="A917" s="1" t="s">
        <v>164</v>
      </c>
      <c r="B917" s="103">
        <f>IF(AND('AES Indiana Bill Calc.'!$D$17="HL2",'AES Indiana Bill Calc.'!$D$18="Yes 10%",'AES Indiana Bill Calc.'!$D$20="Yes 2019"),'AES Indiana Bill Calc.'!$D$19,-1)</f>
        <v>-1</v>
      </c>
      <c r="C917" s="103">
        <f>MAX(E917,$C$769)</f>
        <v>2000</v>
      </c>
      <c r="D917" s="103" t="b">
        <f>IF(AND('AES Indiana Bill Calc.'!$D$17="HL2",'AES Indiana Bill Calc.'!$D$18="Yes 10%",'AES Indiana Bill Calc.'!$D$20="Yes 2019"),'AES Indiana Bill Calc.'!$D$22)</f>
        <v>0</v>
      </c>
      <c r="E917" s="103" t="b">
        <f>IF(AND('AES Indiana Bill Calc.'!$D$17="HL2",'AES Indiana Bill Calc.'!$D$18="Yes 10%",'AES Indiana Bill Calc.'!$D$20="Yes 2019"),'AES Indiana Bill Calc.'!$D$21)</f>
        <v>0</v>
      </c>
      <c r="F917" s="36" t="s">
        <v>243</v>
      </c>
      <c r="G917" s="92" t="e">
        <f>SUM(J917:M917,R917:AA917)</f>
        <v>#N/A</v>
      </c>
      <c r="H917" s="19" t="e">
        <f>IF(ISBLANK(B917),0,+#REF!/B917)</f>
        <v>#REF!</v>
      </c>
      <c r="J917" s="109">
        <f t="shared" si="59"/>
        <v>215</v>
      </c>
      <c r="K917" s="92">
        <f t="shared" si="60"/>
        <v>-0.04</v>
      </c>
      <c r="L917" s="17">
        <f>IF(ISBLANK($C917),0,IF($C917&lt;$C$877,ROUND($C$877*$L$876,2),IF($C917&gt;L$877,ROUND(L$877*L$876,2),ROUND($C917*L$876,2))))</f>
        <v>50000</v>
      </c>
      <c r="M917" s="17">
        <f>IF($C917&gt;L$877,ROUND(($C917-L$877)*M$876,2),0)</f>
        <v>0</v>
      </c>
      <c r="N917" s="17">
        <f>K917</f>
        <v>-0.04</v>
      </c>
      <c r="O917" s="92"/>
      <c r="P917" s="92"/>
      <c r="Q917" s="17">
        <f>SUM(L917:M917)</f>
        <v>50000</v>
      </c>
      <c r="R917" s="110" t="e">
        <f>ROUND(SUM(K917:M917)*(R916-1),2)</f>
        <v>#N/A</v>
      </c>
      <c r="S917" s="92">
        <f>ROUND($B917*S$876*S916,2)</f>
        <v>0</v>
      </c>
      <c r="T917" s="92">
        <f>ROUND($B917*T$876,2)</f>
        <v>0.01</v>
      </c>
      <c r="U917" s="92">
        <f>ROUND($B917*U$876,2)</f>
        <v>0</v>
      </c>
      <c r="V917" s="32">
        <f>ROUND($B917*$V$870,2)</f>
        <v>0</v>
      </c>
      <c r="W917" s="92">
        <f>ROUND($B917*W$876,2)</f>
        <v>0</v>
      </c>
      <c r="X917" s="92">
        <f>ROUND($B917*X$876,2)</f>
        <v>0</v>
      </c>
      <c r="Y917" s="92">
        <f>ROUND($B917*Y$876,2)</f>
        <v>0</v>
      </c>
      <c r="Z917" s="92">
        <f>ROUND($B917*Z$876,2)</f>
        <v>0</v>
      </c>
      <c r="AA917" s="92">
        <f>ROUND($B917*AA$876,2)</f>
        <v>0</v>
      </c>
      <c r="AB917" s="19">
        <f>SUM(U$876:AA$876)+(-V$876+V903)</f>
        <v>2.3699999999999997E-3</v>
      </c>
      <c r="AC917" s="105" t="str">
        <f t="shared" si="62"/>
        <v>HL29</v>
      </c>
    </row>
    <row r="918" spans="1:29" ht="13" x14ac:dyDescent="0.3">
      <c r="A918" s="9"/>
      <c r="B918" s="103">
        <v>-1</v>
      </c>
      <c r="D918" s="32"/>
      <c r="E918" s="103"/>
      <c r="F918" s="36"/>
      <c r="G918" s="92"/>
      <c r="H918" s="19" t="e">
        <f>IF(ISBLANK(B918),0,+#REF!/B918)</f>
        <v>#REF!</v>
      </c>
      <c r="J918" s="109">
        <f t="shared" si="59"/>
        <v>215</v>
      </c>
      <c r="K918" s="92">
        <f t="shared" si="60"/>
        <v>-0.04</v>
      </c>
      <c r="L918" s="92">
        <f>IF(ISBLANK($E918),0,IF($E918&lt;$C$877,ROUND($C$877*$L$876,2),IF($E918&gt;L$877,ROUND(L$877*L$876,2),ROUND($E918*L$876,2))))</f>
        <v>0</v>
      </c>
      <c r="M918" s="92">
        <f>IF($E918&gt;L$877,ROUND(($E918-L$877)*M$876,2),0)</f>
        <v>0</v>
      </c>
      <c r="N918" s="92"/>
      <c r="O918" s="92"/>
      <c r="P918" s="92"/>
      <c r="Q918" s="92"/>
      <c r="R918" s="16" t="e">
        <f>VLOOKUP((D919),'Pwr Factor'!$A$1:$B$52,2)</f>
        <v>#N/A</v>
      </c>
      <c r="S918" s="50">
        <v>0</v>
      </c>
      <c r="T918" s="92"/>
      <c r="U918" s="92"/>
      <c r="V918" s="32"/>
      <c r="W918" s="92"/>
      <c r="X918" s="92"/>
      <c r="Y918" s="92"/>
      <c r="Z918" s="92"/>
      <c r="AA918" s="92"/>
      <c r="AB918" s="19"/>
      <c r="AC918" s="105">
        <f t="shared" si="62"/>
        <v>0</v>
      </c>
    </row>
    <row r="919" spans="1:29" ht="13" x14ac:dyDescent="0.3">
      <c r="A919" s="1" t="s">
        <v>147</v>
      </c>
      <c r="B919" s="103">
        <f>IF(AND('AES Indiana Bill Calc.'!$D$17="HL2",'AES Indiana Bill Calc.'!$D$18="No",'AES Indiana Bill Calc.'!$D$20="Yes 2019"),'AES Indiana Bill Calc.'!$D$19,-1)</f>
        <v>-1</v>
      </c>
      <c r="C919" s="103">
        <f>MAX(E919,$C$769)</f>
        <v>2000</v>
      </c>
      <c r="D919" s="103" t="b">
        <f>IF(AND('AES Indiana Bill Calc.'!$D$17="HL2",'AES Indiana Bill Calc.'!$D$18="No",'AES Indiana Bill Calc.'!$D$20="Yes 2019"),'AES Indiana Bill Calc.'!$D$22)</f>
        <v>0</v>
      </c>
      <c r="E919" s="103" t="b">
        <f>IF(AND('AES Indiana Bill Calc.'!$D$17="HL2",'AES Indiana Bill Calc.'!$D$18="No",'AES Indiana Bill Calc.'!$D$20="Yes 2019"),'AES Indiana Bill Calc.'!$D$21)</f>
        <v>0</v>
      </c>
      <c r="F919" s="36" t="s">
        <v>243</v>
      </c>
      <c r="G919" s="92" t="e">
        <f>SUM(J919:M919,R919:AA919)</f>
        <v>#N/A</v>
      </c>
      <c r="H919" s="19" t="e">
        <f>IF(ISBLANK(B919),0,+#REF!/B919)</f>
        <v>#REF!</v>
      </c>
      <c r="J919" s="109">
        <f t="shared" si="59"/>
        <v>215</v>
      </c>
      <c r="K919" s="92">
        <f t="shared" si="60"/>
        <v>-0.04</v>
      </c>
      <c r="L919" s="17">
        <f>IF(ISBLANK($C919),0,IF($C919&lt;$C$877,ROUND($C$877*$L$876,2),IF($C919&gt;L$877,ROUND(L$877*L$876,2),ROUND($C919*L$876,2))))</f>
        <v>50000</v>
      </c>
      <c r="M919" s="17">
        <f>IF($C919&gt;L$877,ROUND(($C919-L$877)*M$876,2),0)</f>
        <v>0</v>
      </c>
      <c r="N919" s="17">
        <f>K919</f>
        <v>-0.04</v>
      </c>
      <c r="O919" s="92"/>
      <c r="P919" s="92"/>
      <c r="Q919" s="17">
        <f>SUM(L919:M919)</f>
        <v>50000</v>
      </c>
      <c r="R919" s="110" t="e">
        <f>ROUND(SUM(K919:M919)*(R918-1),2)</f>
        <v>#N/A</v>
      </c>
      <c r="S919" s="92">
        <f>ROUND($B919*S$876*S918,2)</f>
        <v>0</v>
      </c>
      <c r="T919" s="92">
        <f>ROUND($B919*T$876,2)</f>
        <v>0.01</v>
      </c>
      <c r="U919" s="92">
        <f>ROUND($B919*U$876,2)</f>
        <v>0</v>
      </c>
      <c r="V919" s="32">
        <f>ROUND($B919*$V$870,2)</f>
        <v>0</v>
      </c>
      <c r="W919" s="92">
        <f>ROUND($B919*W$876,2)</f>
        <v>0</v>
      </c>
      <c r="X919" s="92">
        <f>ROUND($B919*X$876,2)</f>
        <v>0</v>
      </c>
      <c r="Y919" s="92">
        <f>ROUND($B919*Y$876,2)</f>
        <v>0</v>
      </c>
      <c r="Z919" s="92">
        <f>ROUND($B919*Z$876,2)</f>
        <v>0</v>
      </c>
      <c r="AA919" s="92">
        <f>ROUND($B919*AA$876,2)</f>
        <v>0</v>
      </c>
      <c r="AB919" s="19">
        <f>SUM(U$876:AA$876)+(-V$876+V905)</f>
        <v>2.3699999999999997E-3</v>
      </c>
      <c r="AC919" s="105" t="str">
        <f t="shared" si="62"/>
        <v>HL29</v>
      </c>
    </row>
    <row r="920" spans="1:29" ht="13" x14ac:dyDescent="0.3">
      <c r="B920" s="103">
        <v>-1</v>
      </c>
      <c r="D920" s="32"/>
      <c r="E920" s="103"/>
      <c r="F920" s="36"/>
      <c r="G920" s="92"/>
      <c r="H920" s="19" t="e">
        <f>IF(ISBLANK(B920),0,+#REF!/B920)</f>
        <v>#REF!</v>
      </c>
      <c r="J920" s="109">
        <f t="shared" si="59"/>
        <v>215</v>
      </c>
      <c r="K920" s="92">
        <f t="shared" si="60"/>
        <v>-0.04</v>
      </c>
      <c r="L920" s="92">
        <f>IF(ISBLANK($E920),0,IF($E920&lt;$C$877,ROUND($C$877*$L$876,2),IF($E920&gt;L$877,ROUND(L$877*L$876,2),ROUND($E920*L$876,2))))</f>
        <v>0</v>
      </c>
      <c r="M920" s="92">
        <f>IF($E920&gt;L$877,ROUND(($E920-L$877)*M$876,2),0)</f>
        <v>0</v>
      </c>
      <c r="N920" s="92"/>
      <c r="O920" s="92"/>
      <c r="P920" s="92"/>
      <c r="Q920" s="92"/>
      <c r="R920" s="16" t="e">
        <f>VLOOKUP((D921),'Pwr Factor'!$A$1:$B$52,2)</f>
        <v>#N/A</v>
      </c>
      <c r="S920" s="50">
        <v>1</v>
      </c>
      <c r="T920" s="92"/>
      <c r="U920" s="92"/>
      <c r="V920" s="32"/>
      <c r="W920" s="92"/>
      <c r="X920" s="92"/>
      <c r="Y920" s="92"/>
      <c r="Z920" s="92"/>
      <c r="AA920" s="92"/>
      <c r="AB920" s="19"/>
      <c r="AC920" s="105">
        <f t="shared" si="62"/>
        <v>0</v>
      </c>
    </row>
    <row r="921" spans="1:29" ht="13" x14ac:dyDescent="0.3">
      <c r="A921" s="1" t="s">
        <v>148</v>
      </c>
      <c r="B921" s="103">
        <f>IF(AND('AES Indiana Bill Calc.'!$D$17="HL2",'AES Indiana Bill Calc.'!$D$18="Yes 100%",'AES Indiana Bill Calc.'!$D$20="Yes 2020"),'AES Indiana Bill Calc.'!$D$19,-1)</f>
        <v>-1</v>
      </c>
      <c r="C921" s="103">
        <f>MAX(E921,$C$769)</f>
        <v>2000</v>
      </c>
      <c r="D921" s="103" t="b">
        <f>IF(AND('AES Indiana Bill Calc.'!$D$17="HL2",'AES Indiana Bill Calc.'!$D$18="Yes 100%",'AES Indiana Bill Calc.'!$D$20="Yes 2020"),'AES Indiana Bill Calc.'!$D$22)</f>
        <v>0</v>
      </c>
      <c r="E921" s="103" t="b">
        <f>IF(AND('AES Indiana Bill Calc.'!$D$17="HL2",'AES Indiana Bill Calc.'!$D$18="Yes 100%",'AES Indiana Bill Calc.'!$D$20="Yes 2020"),'AES Indiana Bill Calc.'!$D$21)</f>
        <v>0</v>
      </c>
      <c r="F921" s="36" t="s">
        <v>244</v>
      </c>
      <c r="G921" s="92" t="e">
        <f>SUM(J921:M921,R921:AA921)</f>
        <v>#N/A</v>
      </c>
      <c r="H921" s="19" t="e">
        <f>IF(ISBLANK(B921),0,+#REF!/B921)</f>
        <v>#REF!</v>
      </c>
      <c r="J921" s="109">
        <f t="shared" si="59"/>
        <v>215</v>
      </c>
      <c r="K921" s="92">
        <f t="shared" si="60"/>
        <v>-0.04</v>
      </c>
      <c r="L921" s="17">
        <f>IF(ISBLANK($C921),0,IF($C921&lt;$C$877,ROUND($C$877*$L$876,2),IF($C921&gt;L$877,ROUND(L$877*L$876,2),ROUND($C921*L$876,2))))</f>
        <v>50000</v>
      </c>
      <c r="M921" s="17">
        <f>IF($C921&gt;L$877,ROUND(($C921-L$877)*M$876,2),0)</f>
        <v>0</v>
      </c>
      <c r="N921" s="17">
        <f>K921</f>
        <v>-0.04</v>
      </c>
      <c r="O921" s="92"/>
      <c r="P921" s="92"/>
      <c r="Q921" s="17">
        <f>SUM(L921:M921)</f>
        <v>50000</v>
      </c>
      <c r="R921" s="110" t="e">
        <f>ROUND(SUM(K921:M921)*(R920-1),2)</f>
        <v>#N/A</v>
      </c>
      <c r="S921" s="92">
        <f>ROUND($B921*S$876*S920,2)</f>
        <v>0</v>
      </c>
      <c r="T921" s="92">
        <f>ROUND($B921*T$876,2)</f>
        <v>0.01</v>
      </c>
      <c r="U921" s="92">
        <f>ROUND($B921*U$876,2)</f>
        <v>0</v>
      </c>
      <c r="V921" s="32">
        <f>ROUND($B921*$V$871,2)</f>
        <v>0</v>
      </c>
      <c r="W921" s="92">
        <f>ROUND($B921*W$876,2)</f>
        <v>0</v>
      </c>
      <c r="X921" s="92">
        <f>ROUND($B921*X$876,2)</f>
        <v>0</v>
      </c>
      <c r="Y921" s="92">
        <f>ROUND($B921*Y$876,2)</f>
        <v>0</v>
      </c>
      <c r="Z921" s="92">
        <f>ROUND($B921*Z$876,2)</f>
        <v>0</v>
      </c>
      <c r="AA921" s="92">
        <f>ROUND($B921*AA$876,2)</f>
        <v>0</v>
      </c>
      <c r="AB921" s="19">
        <f>SUM(U$876:AA$876)+(-V$876+V907)</f>
        <v>2.3699999999999997E-3</v>
      </c>
      <c r="AC921" s="105" t="str">
        <f t="shared" si="62"/>
        <v>HL20</v>
      </c>
    </row>
    <row r="922" spans="1:29" ht="13" x14ac:dyDescent="0.3">
      <c r="A922" s="9"/>
      <c r="B922" s="103">
        <v>-1</v>
      </c>
      <c r="D922" s="32"/>
      <c r="E922" s="103"/>
      <c r="F922" s="36"/>
      <c r="G922" s="92"/>
      <c r="H922" s="19" t="e">
        <f>IF(ISBLANK(B922),0,+#REF!/B922)</f>
        <v>#REF!</v>
      </c>
      <c r="J922" s="109">
        <f t="shared" si="59"/>
        <v>215</v>
      </c>
      <c r="K922" s="92">
        <f t="shared" si="60"/>
        <v>-0.04</v>
      </c>
      <c r="L922" s="92">
        <f>IF(ISBLANK($E922),0,IF($E922&lt;$C$877,ROUND($C$877*$L$876,2),IF($E922&gt;L$877,ROUND(L$877*L$876,2),ROUND($E922*L$876,2))))</f>
        <v>0</v>
      </c>
      <c r="M922" s="92">
        <f>IF($E922&gt;L$877,ROUND(($E922-L$877)*M$876,2),0)</f>
        <v>0</v>
      </c>
      <c r="N922" s="92"/>
      <c r="O922" s="92"/>
      <c r="P922" s="92"/>
      <c r="Q922" s="92"/>
      <c r="R922" s="16" t="e">
        <f>VLOOKUP((D923),'Pwr Factor'!$A$1:$B$52,2)</f>
        <v>#N/A</v>
      </c>
      <c r="S922" s="50">
        <v>0.5</v>
      </c>
      <c r="T922" s="92"/>
      <c r="U922" s="92"/>
      <c r="V922" s="32"/>
      <c r="W922" s="92"/>
      <c r="X922" s="92"/>
      <c r="Y922" s="92"/>
      <c r="Z922" s="92"/>
      <c r="AA922" s="92"/>
      <c r="AB922" s="19"/>
      <c r="AC922" s="105">
        <f t="shared" si="62"/>
        <v>0</v>
      </c>
    </row>
    <row r="923" spans="1:29" ht="13" x14ac:dyDescent="0.3">
      <c r="A923" s="1" t="s">
        <v>149</v>
      </c>
      <c r="B923" s="103">
        <f>IF(AND('AES Indiana Bill Calc.'!$D$17="HL2",'AES Indiana Bill Calc.'!$D$18="Yes 50%",'AES Indiana Bill Calc.'!$D$20="Yes 2020"),'AES Indiana Bill Calc.'!$D$19,-1)</f>
        <v>-1</v>
      </c>
      <c r="C923" s="103">
        <f>MAX(E923,$C$769)</f>
        <v>2000</v>
      </c>
      <c r="D923" s="103" t="b">
        <f>IF(AND('AES Indiana Bill Calc.'!$D$17="HL2",'AES Indiana Bill Calc.'!$D$18="Yes 50%",'AES Indiana Bill Calc.'!$D$20="Yes 2020"),'AES Indiana Bill Calc.'!$D$22)</f>
        <v>0</v>
      </c>
      <c r="E923" s="103" t="b">
        <f>IF(AND('AES Indiana Bill Calc.'!$D$17="HL2",'AES Indiana Bill Calc.'!$D$18="Yes 50%",'AES Indiana Bill Calc.'!$D$20="Yes 2020"),'AES Indiana Bill Calc.'!$D$21)</f>
        <v>0</v>
      </c>
      <c r="F923" s="36" t="s">
        <v>244</v>
      </c>
      <c r="G923" s="92" t="e">
        <f>SUM(J923:M923,R923:AA923)</f>
        <v>#N/A</v>
      </c>
      <c r="H923" s="19" t="e">
        <f>IF(ISBLANK(B923),0,+#REF!/B923)</f>
        <v>#REF!</v>
      </c>
      <c r="J923" s="109">
        <f t="shared" si="59"/>
        <v>215</v>
      </c>
      <c r="K923" s="92">
        <f t="shared" si="60"/>
        <v>-0.04</v>
      </c>
      <c r="L923" s="17">
        <f>IF(ISBLANK($C923),0,IF($C923&lt;$C$877,ROUND($C$877*$L$876,2),IF($C923&gt;L$877,ROUND(L$877*L$876,2),ROUND($C923*L$876,2))))</f>
        <v>50000</v>
      </c>
      <c r="M923" s="17">
        <f>IF($C923&gt;L$877,ROUND(($C923-L$877)*M$876,2),0)</f>
        <v>0</v>
      </c>
      <c r="N923" s="17">
        <f>K923</f>
        <v>-0.04</v>
      </c>
      <c r="O923" s="92"/>
      <c r="P923" s="92"/>
      <c r="Q923" s="17">
        <f>SUM(L923:M923)</f>
        <v>50000</v>
      </c>
      <c r="R923" s="110" t="e">
        <f>ROUND(SUM(K923:M923)*(R922-1),2)</f>
        <v>#N/A</v>
      </c>
      <c r="S923" s="92">
        <f>ROUND($B923*S$876*S922,2)</f>
        <v>0</v>
      </c>
      <c r="T923" s="92">
        <f>ROUND($B923*T$876,2)</f>
        <v>0.01</v>
      </c>
      <c r="U923" s="92">
        <f>ROUND($B923*U$876,2)</f>
        <v>0</v>
      </c>
      <c r="V923" s="32">
        <f>ROUND($B923*$V$871,2)</f>
        <v>0</v>
      </c>
      <c r="W923" s="92">
        <f>ROUND($B923*W$876,2)</f>
        <v>0</v>
      </c>
      <c r="X923" s="92">
        <f>ROUND($B923*X$876,2)</f>
        <v>0</v>
      </c>
      <c r="Y923" s="92">
        <f>ROUND($B923*Y$876,2)</f>
        <v>0</v>
      </c>
      <c r="Z923" s="92">
        <f>ROUND($B923*Z$876,2)</f>
        <v>0</v>
      </c>
      <c r="AA923" s="92">
        <f>ROUND($B923*AA$876,2)</f>
        <v>0</v>
      </c>
      <c r="AB923" s="19">
        <f>SUM(U$876:AA$876)+(-V$876+V909)</f>
        <v>2.3699999999999997E-3</v>
      </c>
      <c r="AC923" s="105" t="str">
        <f t="shared" si="62"/>
        <v>HL20</v>
      </c>
    </row>
    <row r="924" spans="1:29" ht="13" x14ac:dyDescent="0.3">
      <c r="A924" s="9"/>
      <c r="B924" s="103">
        <v>-1</v>
      </c>
      <c r="D924" s="32"/>
      <c r="E924" s="103"/>
      <c r="F924" s="36"/>
      <c r="G924" s="92"/>
      <c r="H924" s="19" t="e">
        <f>IF(ISBLANK(B924),0,+#REF!/B924)</f>
        <v>#REF!</v>
      </c>
      <c r="J924" s="109">
        <f t="shared" si="59"/>
        <v>215</v>
      </c>
      <c r="K924" s="92">
        <f t="shared" si="60"/>
        <v>-0.04</v>
      </c>
      <c r="L924" s="92">
        <f>IF(ISBLANK($E924),0,IF($E924&lt;$C$877,ROUND($C$877*$L$876,2),IF($E924&gt;L$877,ROUND(L$877*L$876,2),ROUND($E924*L$876,2))))</f>
        <v>0</v>
      </c>
      <c r="M924" s="92">
        <f>IF($E924&gt;L$877,ROUND(($E924-L$877)*M$876,2),0)</f>
        <v>0</v>
      </c>
      <c r="N924" s="92"/>
      <c r="O924" s="92"/>
      <c r="P924" s="92"/>
      <c r="Q924" s="92"/>
      <c r="R924" s="16" t="e">
        <f>VLOOKUP((D925),'Pwr Factor'!$A$1:$B$52,2)</f>
        <v>#N/A</v>
      </c>
      <c r="S924" s="50">
        <v>0.25</v>
      </c>
      <c r="T924" s="92"/>
      <c r="U924" s="92"/>
      <c r="V924" s="32"/>
      <c r="W924" s="92"/>
      <c r="X924" s="92"/>
      <c r="Y924" s="92"/>
      <c r="Z924" s="92"/>
      <c r="AA924" s="92"/>
      <c r="AB924" s="19"/>
      <c r="AC924" s="105">
        <f t="shared" si="62"/>
        <v>0</v>
      </c>
    </row>
    <row r="925" spans="1:29" ht="13" x14ac:dyDescent="0.3">
      <c r="A925" s="1" t="s">
        <v>150</v>
      </c>
      <c r="B925" s="103">
        <f>IF(AND('AES Indiana Bill Calc.'!$D$17="HL2",'AES Indiana Bill Calc.'!$D$18="Yes 25%",'AES Indiana Bill Calc.'!$D$20="Yes 2020"),'AES Indiana Bill Calc.'!$D$19,-1)</f>
        <v>-1</v>
      </c>
      <c r="C925" s="103">
        <f>MAX(E925,$C$769)</f>
        <v>2000</v>
      </c>
      <c r="D925" s="103" t="b">
        <f>IF(AND('AES Indiana Bill Calc.'!$D$17="HL2",'AES Indiana Bill Calc.'!$D$18="Yes 25%",'AES Indiana Bill Calc.'!$D$20="Yes 2020"),'AES Indiana Bill Calc.'!$D$22)</f>
        <v>0</v>
      </c>
      <c r="E925" s="103" t="b">
        <f>IF(AND('AES Indiana Bill Calc.'!$D$17="HL2",'AES Indiana Bill Calc.'!$D$18="Yes 25%",'AES Indiana Bill Calc.'!$D$20="Yes 2020"),'AES Indiana Bill Calc.'!$D$21)</f>
        <v>0</v>
      </c>
      <c r="F925" s="36" t="s">
        <v>244</v>
      </c>
      <c r="G925" s="92" t="e">
        <f>SUM(J925:M925,R925:AA925)</f>
        <v>#N/A</v>
      </c>
      <c r="H925" s="19" t="e">
        <f>IF(ISBLANK(B925),0,+#REF!/B925)</f>
        <v>#REF!</v>
      </c>
      <c r="J925" s="109">
        <f t="shared" si="59"/>
        <v>215</v>
      </c>
      <c r="K925" s="92">
        <f t="shared" si="60"/>
        <v>-0.04</v>
      </c>
      <c r="L925" s="17">
        <f>IF(ISBLANK($C925),0,IF($C925&lt;$C$877,ROUND($C$877*$L$876,2),IF($C925&gt;L$877,ROUND(L$877*L$876,2),ROUND($C925*L$876,2))))</f>
        <v>50000</v>
      </c>
      <c r="M925" s="17">
        <f>IF($C925&gt;L$877,ROUND(($C925-L$877)*M$876,2),0)</f>
        <v>0</v>
      </c>
      <c r="N925" s="17">
        <f>K925</f>
        <v>-0.04</v>
      </c>
      <c r="O925" s="92"/>
      <c r="P925" s="92"/>
      <c r="Q925" s="17">
        <f>SUM(L925:M925)</f>
        <v>50000</v>
      </c>
      <c r="R925" s="110" t="e">
        <f>ROUND(SUM(K925:M925)*(R924-1),2)</f>
        <v>#N/A</v>
      </c>
      <c r="S925" s="92">
        <f>ROUND($B925*S$876*S924,2)</f>
        <v>0</v>
      </c>
      <c r="T925" s="92">
        <f>ROUND($B925*T$876,2)</f>
        <v>0.01</v>
      </c>
      <c r="U925" s="92">
        <f>ROUND($B925*U$876,2)</f>
        <v>0</v>
      </c>
      <c r="V925" s="32">
        <f>ROUND($B925*$V$871,2)</f>
        <v>0</v>
      </c>
      <c r="W925" s="92">
        <f>ROUND($B925*W$876,2)</f>
        <v>0</v>
      </c>
      <c r="X925" s="92">
        <f>ROUND($B925*X$876,2)</f>
        <v>0</v>
      </c>
      <c r="Y925" s="92">
        <f>ROUND($B925*Y$876,2)</f>
        <v>0</v>
      </c>
      <c r="Z925" s="92">
        <f>ROUND($B925*Z$876,2)</f>
        <v>0</v>
      </c>
      <c r="AA925" s="92">
        <f>ROUND($B925*AA$876,2)</f>
        <v>0</v>
      </c>
      <c r="AB925" s="19">
        <f>SUM(U$876:AA$876)+(-V$876+V911)</f>
        <v>2.3699999999999997E-3</v>
      </c>
      <c r="AC925" s="105" t="str">
        <f t="shared" si="62"/>
        <v>HL20</v>
      </c>
    </row>
    <row r="926" spans="1:29" ht="13" x14ac:dyDescent="0.3">
      <c r="A926" s="9"/>
      <c r="B926" s="103">
        <v>-1</v>
      </c>
      <c r="D926" s="32"/>
      <c r="E926" s="103"/>
      <c r="F926" s="36"/>
      <c r="G926" s="92"/>
      <c r="H926" s="19" t="e">
        <f>IF(ISBLANK(B926),0,+#REF!/B926)</f>
        <v>#REF!</v>
      </c>
      <c r="J926" s="109">
        <f t="shared" si="59"/>
        <v>215</v>
      </c>
      <c r="K926" s="92">
        <f t="shared" si="60"/>
        <v>-0.04</v>
      </c>
      <c r="L926" s="92">
        <f>IF(ISBLANK($E926),0,IF($E926&lt;$C$877,ROUND($C$877*$L$876,2),IF($E926&gt;L$877,ROUND(L$877*L$876,2),ROUND($E926*L$876,2))))</f>
        <v>0</v>
      </c>
      <c r="M926" s="92">
        <f>IF($E926&gt;L$877,ROUND(($E926-L$877)*M$876,2),0)</f>
        <v>0</v>
      </c>
      <c r="N926" s="92"/>
      <c r="O926" s="92"/>
      <c r="P926" s="92"/>
      <c r="Q926" s="92"/>
      <c r="R926" s="16" t="e">
        <f>VLOOKUP((D927),'Pwr Factor'!$A$1:$B$52,2)</f>
        <v>#N/A</v>
      </c>
      <c r="S926" s="50">
        <v>0.1</v>
      </c>
      <c r="T926" s="92"/>
      <c r="U926" s="92"/>
      <c r="V926" s="32"/>
      <c r="W926" s="92"/>
      <c r="X926" s="92"/>
      <c r="Y926" s="92"/>
      <c r="Z926" s="92"/>
      <c r="AA926" s="92"/>
      <c r="AB926" s="19"/>
      <c r="AC926" s="105">
        <f t="shared" si="62"/>
        <v>0</v>
      </c>
    </row>
    <row r="927" spans="1:29" ht="13" x14ac:dyDescent="0.3">
      <c r="A927" s="1" t="s">
        <v>164</v>
      </c>
      <c r="B927" s="103">
        <f>IF(AND('AES Indiana Bill Calc.'!$D$17="HL2",'AES Indiana Bill Calc.'!$D$18="Yes 10%",'AES Indiana Bill Calc.'!$D$20="Yes 2020"),'AES Indiana Bill Calc.'!$D$19,-1)</f>
        <v>-1</v>
      </c>
      <c r="C927" s="103">
        <f>MAX(E927,$C$769)</f>
        <v>2000</v>
      </c>
      <c r="D927" s="103" t="b">
        <f>IF(AND('AES Indiana Bill Calc.'!$D$17="HL2",'AES Indiana Bill Calc.'!$D$18="Yes 10%",'AES Indiana Bill Calc.'!$D$20="Yes 2020"),'AES Indiana Bill Calc.'!$D$22)</f>
        <v>0</v>
      </c>
      <c r="E927" s="103" t="b">
        <f>IF(AND('AES Indiana Bill Calc.'!$D$17="HL2",'AES Indiana Bill Calc.'!$D$18="Yes 10%",'AES Indiana Bill Calc.'!$D$20="Yes 2020"),'AES Indiana Bill Calc.'!$D$21)</f>
        <v>0</v>
      </c>
      <c r="F927" s="36" t="s">
        <v>244</v>
      </c>
      <c r="G927" s="92" t="e">
        <f>SUM(J927:M927,R927:AA927)</f>
        <v>#N/A</v>
      </c>
      <c r="H927" s="19" t="e">
        <f>IF(ISBLANK(B927),0,+#REF!/B927)</f>
        <v>#REF!</v>
      </c>
      <c r="J927" s="109">
        <f t="shared" si="59"/>
        <v>215</v>
      </c>
      <c r="K927" s="92">
        <f t="shared" si="60"/>
        <v>-0.04</v>
      </c>
      <c r="L927" s="17">
        <f>IF(ISBLANK($C927),0,IF($C927&lt;$C$877,ROUND($C$877*$L$876,2),IF($C927&gt;L$877,ROUND(L$877*L$876,2),ROUND($C927*L$876,2))))</f>
        <v>50000</v>
      </c>
      <c r="M927" s="17">
        <f>IF($C927&gt;L$877,ROUND(($C927-L$877)*M$876,2),0)</f>
        <v>0</v>
      </c>
      <c r="N927" s="17">
        <f>K927</f>
        <v>-0.04</v>
      </c>
      <c r="O927" s="92"/>
      <c r="P927" s="92"/>
      <c r="Q927" s="17">
        <f>SUM(L927:M927)</f>
        <v>50000</v>
      </c>
      <c r="R927" s="110" t="e">
        <f>ROUND(SUM(K927:M927)*(R926-1),2)</f>
        <v>#N/A</v>
      </c>
      <c r="S927" s="92">
        <f>ROUND($B927*S$876*S926,2)</f>
        <v>0</v>
      </c>
      <c r="T927" s="92">
        <f>ROUND($B927*T$876,2)</f>
        <v>0.01</v>
      </c>
      <c r="U927" s="92">
        <f>ROUND($B927*U$876,2)</f>
        <v>0</v>
      </c>
      <c r="V927" s="32">
        <f>ROUND($B927*$V$871,2)</f>
        <v>0</v>
      </c>
      <c r="W927" s="92">
        <f>ROUND($B927*W$876,2)</f>
        <v>0</v>
      </c>
      <c r="X927" s="92">
        <f>ROUND($B927*X$876,2)</f>
        <v>0</v>
      </c>
      <c r="Y927" s="92">
        <f>ROUND($B927*Y$876,2)</f>
        <v>0</v>
      </c>
      <c r="Z927" s="92">
        <f>ROUND($B927*Z$876,2)</f>
        <v>0</v>
      </c>
      <c r="AA927" s="92">
        <f>ROUND($B927*AA$876,2)</f>
        <v>0</v>
      </c>
      <c r="AB927" s="19">
        <f>SUM(U$876:AA$876)+(-V$876+V913)</f>
        <v>2.3699999999999997E-3</v>
      </c>
      <c r="AC927" s="105" t="str">
        <f t="shared" si="62"/>
        <v>HL20</v>
      </c>
    </row>
    <row r="928" spans="1:29" ht="13" x14ac:dyDescent="0.3">
      <c r="A928" s="9"/>
      <c r="B928" s="103">
        <v>-1</v>
      </c>
      <c r="D928" s="32"/>
      <c r="E928" s="103"/>
      <c r="F928" s="36"/>
      <c r="G928" s="92"/>
      <c r="H928" s="19" t="e">
        <f>IF(ISBLANK(B928),0,+#REF!/B928)</f>
        <v>#REF!</v>
      </c>
      <c r="J928" s="109">
        <f t="shared" si="59"/>
        <v>215</v>
      </c>
      <c r="K928" s="92">
        <f t="shared" si="60"/>
        <v>-0.04</v>
      </c>
      <c r="L928" s="92">
        <f>IF(ISBLANK($E928),0,IF($E928&lt;$C$877,ROUND($C$877*$L$876,2),IF($E928&gt;L$877,ROUND(L$877*L$876,2),ROUND($E928*L$876,2))))</f>
        <v>0</v>
      </c>
      <c r="M928" s="92">
        <f>IF($E928&gt;L$877,ROUND(($E928-L$877)*M$876,2),0)</f>
        <v>0</v>
      </c>
      <c r="N928" s="92"/>
      <c r="O928" s="92"/>
      <c r="P928" s="92"/>
      <c r="Q928" s="92"/>
      <c r="R928" s="16" t="e">
        <f>VLOOKUP((D929),'Pwr Factor'!$A$1:$B$52,2)</f>
        <v>#N/A</v>
      </c>
      <c r="S928" s="50">
        <v>0</v>
      </c>
      <c r="T928" s="92"/>
      <c r="U928" s="92"/>
      <c r="V928" s="32"/>
      <c r="W928" s="92"/>
      <c r="X928" s="92"/>
      <c r="Y928" s="92"/>
      <c r="Z928" s="92"/>
      <c r="AA928" s="92"/>
      <c r="AB928" s="19"/>
      <c r="AC928" s="105">
        <f t="shared" si="62"/>
        <v>0</v>
      </c>
    </row>
    <row r="929" spans="1:29" ht="13" x14ac:dyDescent="0.3">
      <c r="A929" s="1" t="s">
        <v>147</v>
      </c>
      <c r="B929" s="103">
        <f>IF(AND('AES Indiana Bill Calc.'!$D$17="HL2",'AES Indiana Bill Calc.'!$D$18="No",'AES Indiana Bill Calc.'!$D$20="Yes 2020"),'AES Indiana Bill Calc.'!$D$19,-1)</f>
        <v>-1</v>
      </c>
      <c r="C929" s="103">
        <f>MAX(E929,$C$769)</f>
        <v>2000</v>
      </c>
      <c r="D929" s="103" t="b">
        <f>IF(AND('AES Indiana Bill Calc.'!$D$17="HL2",'AES Indiana Bill Calc.'!$D$18="No",'AES Indiana Bill Calc.'!$D$20="Yes 2020"),'AES Indiana Bill Calc.'!$D$22)</f>
        <v>0</v>
      </c>
      <c r="E929" s="103" t="b">
        <f>IF(AND('AES Indiana Bill Calc.'!$D$17="HL2",'AES Indiana Bill Calc.'!$D$18="No",'AES Indiana Bill Calc.'!$D$20="Yes 2020"),'AES Indiana Bill Calc.'!$D$21)</f>
        <v>0</v>
      </c>
      <c r="F929" s="36" t="s">
        <v>244</v>
      </c>
      <c r="G929" s="92" t="e">
        <f>SUM(J929:M929,R929:AA929)</f>
        <v>#N/A</v>
      </c>
      <c r="H929" s="19" t="e">
        <f>IF(ISBLANK(B929),0,+#REF!/B929)</f>
        <v>#REF!</v>
      </c>
      <c r="J929" s="109">
        <f t="shared" si="59"/>
        <v>215</v>
      </c>
      <c r="K929" s="92">
        <f t="shared" si="60"/>
        <v>-0.04</v>
      </c>
      <c r="L929" s="17">
        <f>IF(ISBLANK($C929),0,IF($C929&lt;$C$877,ROUND($C$877*$L$876,2),IF($C929&gt;L$877,ROUND(L$877*L$876,2),ROUND($C929*L$876,2))))</f>
        <v>50000</v>
      </c>
      <c r="M929" s="17">
        <f>IF($C929&gt;L$877,ROUND(($C929-L$877)*M$876,2),0)</f>
        <v>0</v>
      </c>
      <c r="N929" s="17">
        <f>K929</f>
        <v>-0.04</v>
      </c>
      <c r="O929" s="92"/>
      <c r="P929" s="92"/>
      <c r="Q929" s="17">
        <f>SUM(L929:M929)</f>
        <v>50000</v>
      </c>
      <c r="R929" s="110" t="e">
        <f>ROUND(SUM(K929:M929)*(R928-1),2)</f>
        <v>#N/A</v>
      </c>
      <c r="S929" s="92">
        <f>ROUND($B929*S$876*S928,2)</f>
        <v>0</v>
      </c>
      <c r="T929" s="92">
        <f>ROUND($B929*T$876,2)</f>
        <v>0.01</v>
      </c>
      <c r="U929" s="92">
        <f>ROUND($B929*U$876,2)</f>
        <v>0</v>
      </c>
      <c r="V929" s="32">
        <f>ROUND($B929*$V$871,2)</f>
        <v>0</v>
      </c>
      <c r="W929" s="92">
        <f>ROUND($B929*W$876,2)</f>
        <v>0</v>
      </c>
      <c r="X929" s="92">
        <f>ROUND($B929*X$876,2)</f>
        <v>0</v>
      </c>
      <c r="Y929" s="92">
        <f>ROUND($B929*Y$876,2)</f>
        <v>0</v>
      </c>
      <c r="Z929" s="92">
        <f>ROUND($B929*Z$876,2)</f>
        <v>0</v>
      </c>
      <c r="AA929" s="92">
        <f>ROUND($B929*AA$876,2)</f>
        <v>0</v>
      </c>
      <c r="AB929" s="19">
        <f>SUM(U$876:AA$876)+(-V$876+V915)</f>
        <v>2.3699999999999997E-3</v>
      </c>
      <c r="AC929" s="105" t="str">
        <f t="shared" si="62"/>
        <v>HL20</v>
      </c>
    </row>
    <row r="930" spans="1:29" ht="13" x14ac:dyDescent="0.3">
      <c r="B930" s="103">
        <v>-1</v>
      </c>
      <c r="D930" s="32"/>
      <c r="E930" s="103"/>
      <c r="F930" s="36"/>
      <c r="G930" s="92"/>
      <c r="H930" s="19" t="e">
        <f>IF(ISBLANK(B930),0,+#REF!/B930)</f>
        <v>#REF!</v>
      </c>
      <c r="J930" s="109">
        <f t="shared" si="59"/>
        <v>215</v>
      </c>
      <c r="K930" s="92">
        <f t="shared" si="60"/>
        <v>-0.04</v>
      </c>
      <c r="L930" s="92">
        <f>IF(ISBLANK($E930),0,IF($E930&lt;$C$877,ROUND($C$877*$L$876,2),IF($E930&gt;L$877,ROUND(L$877*L$876,2),ROUND($E930*L$876,2))))</f>
        <v>0</v>
      </c>
      <c r="M930" s="92">
        <f>IF($E930&gt;L$877,ROUND(($E930-L$877)*M$876,2),0)</f>
        <v>0</v>
      </c>
      <c r="N930" s="92"/>
      <c r="O930" s="92"/>
      <c r="P930" s="92"/>
      <c r="Q930" s="92"/>
      <c r="R930" s="16" t="e">
        <f>VLOOKUP((D931),'Pwr Factor'!$A$1:$B$52,2)</f>
        <v>#N/A</v>
      </c>
      <c r="S930" s="50">
        <v>1</v>
      </c>
      <c r="T930" s="92"/>
      <c r="U930" s="92"/>
      <c r="V930" s="32"/>
      <c r="W930" s="92"/>
      <c r="X930" s="92"/>
      <c r="Y930" s="92"/>
      <c r="Z930" s="92"/>
      <c r="AA930" s="92"/>
      <c r="AB930" s="19"/>
      <c r="AC930" s="105">
        <f t="shared" si="62"/>
        <v>0</v>
      </c>
    </row>
    <row r="931" spans="1:29" ht="13" x14ac:dyDescent="0.3">
      <c r="A931" s="1" t="s">
        <v>148</v>
      </c>
      <c r="B931" s="103">
        <f>IF(AND('AES Indiana Bill Calc.'!$D$17="HL2",'AES Indiana Bill Calc.'!$D$18="Yes 100%",'AES Indiana Bill Calc.'!$D$20="Yes 2021"),'AES Indiana Bill Calc.'!$D$19,-1)</f>
        <v>-1</v>
      </c>
      <c r="C931" s="103">
        <f>MAX(E931,$C$769)</f>
        <v>2000</v>
      </c>
      <c r="D931" s="103" t="b">
        <f>IF(AND('AES Indiana Bill Calc.'!$D$17="HL2",'AES Indiana Bill Calc.'!$D$18="Yes 100%",'AES Indiana Bill Calc.'!$D$20="Yes 2021"),'AES Indiana Bill Calc.'!$D$22)</f>
        <v>0</v>
      </c>
      <c r="E931" s="103" t="b">
        <f>IF(AND('AES Indiana Bill Calc.'!$D$17="HL2",'AES Indiana Bill Calc.'!$D$18="Yes 100%",'AES Indiana Bill Calc.'!$D$20="Yes 2021"),'AES Indiana Bill Calc.'!$D$21)</f>
        <v>0</v>
      </c>
      <c r="F931" s="36" t="s">
        <v>245</v>
      </c>
      <c r="G931" s="92" t="e">
        <f>SUM(J931:M931,R931:AA931)</f>
        <v>#N/A</v>
      </c>
      <c r="H931" s="19" t="e">
        <f>IF(ISBLANK(B931),0,+#REF!/B931)</f>
        <v>#REF!</v>
      </c>
      <c r="J931" s="109">
        <f t="shared" si="59"/>
        <v>215</v>
      </c>
      <c r="K931" s="92">
        <f t="shared" si="60"/>
        <v>-0.04</v>
      </c>
      <c r="L931" s="17">
        <f>IF(ISBLANK($C931),0,IF($C931&lt;$C$877,ROUND($C$877*$L$876,2),IF($C931&gt;L$877,ROUND(L$877*L$876,2),ROUND($C931*L$876,2))))</f>
        <v>50000</v>
      </c>
      <c r="M931" s="17">
        <f>IF($C931&gt;L$877,ROUND(($C931-L$877)*M$876,2),0)</f>
        <v>0</v>
      </c>
      <c r="N931" s="17">
        <f>K931</f>
        <v>-0.04</v>
      </c>
      <c r="O931" s="92"/>
      <c r="P931" s="92"/>
      <c r="Q931" s="17">
        <f>SUM(L931:M931)</f>
        <v>50000</v>
      </c>
      <c r="R931" s="110" t="e">
        <f>ROUND(SUM(K931:M931)*(R930-1),2)</f>
        <v>#N/A</v>
      </c>
      <c r="S931" s="92">
        <f>ROUND($B931*S$876*S930,2)</f>
        <v>0</v>
      </c>
      <c r="T931" s="92">
        <f>ROUND($B931*T$876,2)</f>
        <v>0.01</v>
      </c>
      <c r="U931" s="92">
        <f>ROUND($B931*U$876,2)</f>
        <v>0</v>
      </c>
      <c r="V931" s="32">
        <f>ROUND($B931*$V$872,2)</f>
        <v>0</v>
      </c>
      <c r="W931" s="92">
        <f>ROUND($B931*W$876,2)</f>
        <v>0</v>
      </c>
      <c r="X931" s="92">
        <f>ROUND($B931*X$876,2)</f>
        <v>0</v>
      </c>
      <c r="Y931" s="92">
        <f>ROUND($B931*Y$876,2)</f>
        <v>0</v>
      </c>
      <c r="Z931" s="92">
        <f>ROUND($B931*Z$876,2)</f>
        <v>0</v>
      </c>
      <c r="AA931" s="92">
        <f>ROUND($B931*AA$876,2)</f>
        <v>0</v>
      </c>
      <c r="AB931" s="19">
        <f>SUM(U$876:AA$876)+(-V$876+V917)</f>
        <v>2.3699999999999997E-3</v>
      </c>
      <c r="AC931" s="105" t="str">
        <f t="shared" si="62"/>
        <v>HL21</v>
      </c>
    </row>
    <row r="932" spans="1:29" ht="13" x14ac:dyDescent="0.3">
      <c r="A932" s="9"/>
      <c r="B932" s="103">
        <v>-1</v>
      </c>
      <c r="D932" s="32"/>
      <c r="E932" s="103"/>
      <c r="F932" s="36"/>
      <c r="G932" s="92"/>
      <c r="H932" s="19" t="e">
        <f>IF(ISBLANK(B932),0,+#REF!/B932)</f>
        <v>#REF!</v>
      </c>
      <c r="J932" s="109">
        <f t="shared" si="59"/>
        <v>215</v>
      </c>
      <c r="K932" s="92">
        <f t="shared" si="60"/>
        <v>-0.04</v>
      </c>
      <c r="L932" s="92">
        <f>IF(ISBLANK($E932),0,IF($E932&lt;$C$877,ROUND($C$877*$L$876,2),IF($E932&gt;L$877,ROUND(L$877*L$876,2),ROUND($E932*L$876,2))))</f>
        <v>0</v>
      </c>
      <c r="M932" s="92">
        <f>IF($E932&gt;L$877,ROUND(($E932-L$877)*M$876,2),0)</f>
        <v>0</v>
      </c>
      <c r="N932" s="92"/>
      <c r="O932" s="92"/>
      <c r="P932" s="92"/>
      <c r="Q932" s="92"/>
      <c r="R932" s="16" t="e">
        <f>VLOOKUP((D933),'Pwr Factor'!$A$1:$B$52,2)</f>
        <v>#N/A</v>
      </c>
      <c r="S932" s="50">
        <v>0.5</v>
      </c>
      <c r="T932" s="92"/>
      <c r="U932" s="92"/>
      <c r="V932" s="32"/>
      <c r="W932" s="92"/>
      <c r="X932" s="92"/>
      <c r="Y932" s="92"/>
      <c r="Z932" s="92"/>
      <c r="AA932" s="92"/>
      <c r="AB932" s="19"/>
      <c r="AC932" s="105">
        <f t="shared" si="62"/>
        <v>0</v>
      </c>
    </row>
    <row r="933" spans="1:29" ht="13" x14ac:dyDescent="0.3">
      <c r="A933" s="1" t="s">
        <v>149</v>
      </c>
      <c r="B933" s="103">
        <f>IF(AND('AES Indiana Bill Calc.'!$D$17="HL2",'AES Indiana Bill Calc.'!$D$18="Yes 50%",'AES Indiana Bill Calc.'!$D$20="Yes 2021"),'AES Indiana Bill Calc.'!$D$19,-1)</f>
        <v>-1</v>
      </c>
      <c r="C933" s="103">
        <f>MAX(E933,$C$769)</f>
        <v>2000</v>
      </c>
      <c r="D933" s="103" t="b">
        <f>IF(AND('AES Indiana Bill Calc.'!$D$17="HL2",'AES Indiana Bill Calc.'!$D$18="Yes 50%",'AES Indiana Bill Calc.'!$D$20="Yes 2021"),'AES Indiana Bill Calc.'!$D$22)</f>
        <v>0</v>
      </c>
      <c r="E933" s="103" t="b">
        <f>IF(AND('AES Indiana Bill Calc.'!$D$17="HL2",'AES Indiana Bill Calc.'!$D$18="Yes 50%",'AES Indiana Bill Calc.'!$D$20="Yes 2021"),'AES Indiana Bill Calc.'!$D$21)</f>
        <v>0</v>
      </c>
      <c r="F933" s="36" t="s">
        <v>245</v>
      </c>
      <c r="G933" s="92" t="e">
        <f>SUM(J933:M933,R933:AA933)</f>
        <v>#N/A</v>
      </c>
      <c r="H933" s="19" t="e">
        <f>IF(ISBLANK(B933),0,+#REF!/B933)</f>
        <v>#REF!</v>
      </c>
      <c r="J933" s="109">
        <f t="shared" si="59"/>
        <v>215</v>
      </c>
      <c r="K933" s="92">
        <f t="shared" si="60"/>
        <v>-0.04</v>
      </c>
      <c r="L933" s="17">
        <f>IF(ISBLANK($C933),0,IF($C933&lt;$C$877,ROUND($C$877*$L$876,2),IF($C933&gt;L$877,ROUND(L$877*L$876,2),ROUND($C933*L$876,2))))</f>
        <v>50000</v>
      </c>
      <c r="M933" s="17">
        <f>IF($C933&gt;L$877,ROUND(($C933-L$877)*M$876,2),0)</f>
        <v>0</v>
      </c>
      <c r="N933" s="17">
        <f>K933</f>
        <v>-0.04</v>
      </c>
      <c r="O933" s="92"/>
      <c r="P933" s="92"/>
      <c r="Q933" s="17">
        <f>SUM(L933:M933)</f>
        <v>50000</v>
      </c>
      <c r="R933" s="110" t="e">
        <f>ROUND(SUM(K933:M933)*(R932-1),2)</f>
        <v>#N/A</v>
      </c>
      <c r="S933" s="92">
        <f>ROUND($B933*S$876*S932,2)</f>
        <v>0</v>
      </c>
      <c r="T933" s="92">
        <f>ROUND($B933*T$876,2)</f>
        <v>0.01</v>
      </c>
      <c r="U933" s="92">
        <f>ROUND($B933*U$876,2)</f>
        <v>0</v>
      </c>
      <c r="V933" s="32">
        <f>ROUND($B933*$V$872,2)</f>
        <v>0</v>
      </c>
      <c r="W933" s="92">
        <f>ROUND($B933*W$876,2)</f>
        <v>0</v>
      </c>
      <c r="X933" s="92">
        <f>ROUND($B933*X$876,2)</f>
        <v>0</v>
      </c>
      <c r="Y933" s="92">
        <f>ROUND($B933*Y$876,2)</f>
        <v>0</v>
      </c>
      <c r="Z933" s="92">
        <f>ROUND($B933*Z$876,2)</f>
        <v>0</v>
      </c>
      <c r="AA933" s="92">
        <f>ROUND($B933*AA$876,2)</f>
        <v>0</v>
      </c>
      <c r="AB933" s="19">
        <f>SUM(U$876:AA$876)+(-V$876+V919)</f>
        <v>2.3699999999999997E-3</v>
      </c>
      <c r="AC933" s="105" t="str">
        <f t="shared" si="62"/>
        <v>HL21</v>
      </c>
    </row>
    <row r="934" spans="1:29" ht="13" x14ac:dyDescent="0.3">
      <c r="A934" s="9"/>
      <c r="B934" s="103">
        <v>-1</v>
      </c>
      <c r="D934" s="32"/>
      <c r="E934" s="103"/>
      <c r="F934" s="36"/>
      <c r="G934" s="92"/>
      <c r="H934" s="19" t="e">
        <f>IF(ISBLANK(B934),0,+#REF!/B934)</f>
        <v>#REF!</v>
      </c>
      <c r="J934" s="109">
        <f t="shared" si="59"/>
        <v>215</v>
      </c>
      <c r="K934" s="92">
        <f t="shared" si="60"/>
        <v>-0.04</v>
      </c>
      <c r="L934" s="92">
        <f>IF(ISBLANK($E934),0,IF($E934&lt;$C$877,ROUND($C$877*$L$876,2),IF($E934&gt;L$877,ROUND(L$877*L$876,2),ROUND($E934*L$876,2))))</f>
        <v>0</v>
      </c>
      <c r="M934" s="92">
        <f>IF($E934&gt;L$877,ROUND(($E934-L$877)*M$876,2),0)</f>
        <v>0</v>
      </c>
      <c r="N934" s="92"/>
      <c r="O934" s="92"/>
      <c r="P934" s="92"/>
      <c r="Q934" s="92"/>
      <c r="R934" s="16" t="e">
        <f>VLOOKUP((D935),'Pwr Factor'!$A$1:$B$52,2)</f>
        <v>#N/A</v>
      </c>
      <c r="S934" s="50">
        <v>0.25</v>
      </c>
      <c r="T934" s="92"/>
      <c r="U934" s="92"/>
      <c r="V934" s="32"/>
      <c r="W934" s="92"/>
      <c r="X934" s="92"/>
      <c r="Y934" s="92"/>
      <c r="Z934" s="92"/>
      <c r="AA934" s="92"/>
      <c r="AB934" s="19"/>
      <c r="AC934" s="105">
        <f t="shared" si="62"/>
        <v>0</v>
      </c>
    </row>
    <row r="935" spans="1:29" ht="13" x14ac:dyDescent="0.3">
      <c r="A935" s="1" t="s">
        <v>150</v>
      </c>
      <c r="B935" s="103">
        <f>IF(AND('AES Indiana Bill Calc.'!$D$17="HL2",'AES Indiana Bill Calc.'!$D$18="Yes 25%",'AES Indiana Bill Calc.'!$D$20="Yes 2021"),'AES Indiana Bill Calc.'!$D$19,-1)</f>
        <v>-1</v>
      </c>
      <c r="C935" s="103">
        <f>MAX(E935,$C$769)</f>
        <v>2000</v>
      </c>
      <c r="D935" s="103" t="b">
        <f>IF(AND('AES Indiana Bill Calc.'!$D$17="HL2",'AES Indiana Bill Calc.'!$D$18="Yes 25%",'AES Indiana Bill Calc.'!$D$20="Yes 2021"),'AES Indiana Bill Calc.'!$D$22)</f>
        <v>0</v>
      </c>
      <c r="E935" s="103" t="b">
        <f>IF(AND('AES Indiana Bill Calc.'!$D$17="HL2",'AES Indiana Bill Calc.'!$D$18="Yes 25%",'AES Indiana Bill Calc.'!$D$20="Yes 2021"),'AES Indiana Bill Calc.'!$D$21)</f>
        <v>0</v>
      </c>
      <c r="F935" s="36" t="s">
        <v>245</v>
      </c>
      <c r="G935" s="92" t="e">
        <f>SUM(J935:M935,R935:AA935)</f>
        <v>#N/A</v>
      </c>
      <c r="H935" s="19" t="e">
        <f>IF(ISBLANK(B935),0,+#REF!/B935)</f>
        <v>#REF!</v>
      </c>
      <c r="J935" s="109">
        <f t="shared" si="59"/>
        <v>215</v>
      </c>
      <c r="K935" s="92">
        <f t="shared" si="60"/>
        <v>-0.04</v>
      </c>
      <c r="L935" s="17">
        <f>IF(ISBLANK($C935),0,IF($C935&lt;$C$877,ROUND($C$877*$L$876,2),IF($C935&gt;L$877,ROUND(L$877*L$876,2),ROUND($C935*L$876,2))))</f>
        <v>50000</v>
      </c>
      <c r="M935" s="17">
        <f>IF($C935&gt;L$877,ROUND(($C935-L$877)*M$876,2),0)</f>
        <v>0</v>
      </c>
      <c r="N935" s="17">
        <f>K935</f>
        <v>-0.04</v>
      </c>
      <c r="O935" s="92"/>
      <c r="P935" s="92"/>
      <c r="Q935" s="17">
        <f>SUM(L935:M935)</f>
        <v>50000</v>
      </c>
      <c r="R935" s="110" t="e">
        <f>ROUND(SUM(K935:M935)*(R934-1),2)</f>
        <v>#N/A</v>
      </c>
      <c r="S935" s="92">
        <f>ROUND($B935*S$876*S934,2)</f>
        <v>0</v>
      </c>
      <c r="T935" s="92">
        <f>ROUND($B935*T$876,2)</f>
        <v>0.01</v>
      </c>
      <c r="U935" s="92">
        <f>ROUND($B935*U$876,2)</f>
        <v>0</v>
      </c>
      <c r="V935" s="32">
        <f>ROUND($B935*$V$872,2)</f>
        <v>0</v>
      </c>
      <c r="W935" s="92">
        <f>ROUND($B935*W$876,2)</f>
        <v>0</v>
      </c>
      <c r="X935" s="92">
        <f>ROUND($B935*X$876,2)</f>
        <v>0</v>
      </c>
      <c r="Y935" s="92">
        <f>ROUND($B935*Y$876,2)</f>
        <v>0</v>
      </c>
      <c r="Z935" s="92">
        <f>ROUND($B935*Z$876,2)</f>
        <v>0</v>
      </c>
      <c r="AA935" s="92">
        <f>ROUND($B935*AA$876,2)</f>
        <v>0</v>
      </c>
      <c r="AB935" s="19">
        <f>SUM(U$876:AA$876)+(-V$876+V921)</f>
        <v>2.3699999999999997E-3</v>
      </c>
      <c r="AC935" s="105" t="str">
        <f t="shared" si="62"/>
        <v>HL21</v>
      </c>
    </row>
    <row r="936" spans="1:29" ht="13" x14ac:dyDescent="0.3">
      <c r="A936" s="9"/>
      <c r="B936" s="103">
        <v>-1</v>
      </c>
      <c r="D936" s="32"/>
      <c r="E936" s="103"/>
      <c r="F936" s="36"/>
      <c r="G936" s="92"/>
      <c r="H936" s="19" t="e">
        <f>IF(ISBLANK(B936),0,+#REF!/B936)</f>
        <v>#REF!</v>
      </c>
      <c r="J936" s="109">
        <f t="shared" si="59"/>
        <v>215</v>
      </c>
      <c r="K936" s="92">
        <f t="shared" si="60"/>
        <v>-0.04</v>
      </c>
      <c r="L936" s="92">
        <f>IF(ISBLANK($E936),0,IF($E936&lt;$C$877,ROUND($C$877*$L$876,2),IF($E936&gt;L$877,ROUND(L$877*L$876,2),ROUND($E936*L$876,2))))</f>
        <v>0</v>
      </c>
      <c r="M936" s="92">
        <f>IF($E936&gt;L$877,ROUND(($E936-L$877)*M$876,2),0)</f>
        <v>0</v>
      </c>
      <c r="N936" s="92"/>
      <c r="O936" s="92"/>
      <c r="P936" s="92"/>
      <c r="Q936" s="92"/>
      <c r="R936" s="16" t="e">
        <f>VLOOKUP((D937),'Pwr Factor'!$A$1:$B$52,2)</f>
        <v>#N/A</v>
      </c>
      <c r="S936" s="50">
        <v>0.1</v>
      </c>
      <c r="T936" s="92"/>
      <c r="U936" s="92"/>
      <c r="V936" s="32"/>
      <c r="W936" s="92"/>
      <c r="X936" s="92"/>
      <c r="Y936" s="92"/>
      <c r="Z936" s="92"/>
      <c r="AA936" s="92"/>
      <c r="AB936" s="19"/>
      <c r="AC936" s="105">
        <f t="shared" si="62"/>
        <v>0</v>
      </c>
    </row>
    <row r="937" spans="1:29" ht="13" x14ac:dyDescent="0.3">
      <c r="A937" s="1" t="s">
        <v>164</v>
      </c>
      <c r="B937" s="103">
        <f>IF(AND('AES Indiana Bill Calc.'!$D$17="HL2",'AES Indiana Bill Calc.'!$D$18="Yes 10%",'AES Indiana Bill Calc.'!$D$20="Yes 2021"),'AES Indiana Bill Calc.'!$D$19,-1)</f>
        <v>-1</v>
      </c>
      <c r="C937" s="103">
        <f>MAX(E937,$C$769)</f>
        <v>2000</v>
      </c>
      <c r="D937" s="103" t="b">
        <f>IF(AND('AES Indiana Bill Calc.'!$D$17="HL2",'AES Indiana Bill Calc.'!$D$18="Yes 10%",'AES Indiana Bill Calc.'!$D$20="Yes 2021"),'AES Indiana Bill Calc.'!$D$22)</f>
        <v>0</v>
      </c>
      <c r="E937" s="103" t="b">
        <f>IF(AND('AES Indiana Bill Calc.'!$D$17="HL2",'AES Indiana Bill Calc.'!$D$18="Yes 10%",'AES Indiana Bill Calc.'!$D$20="Yes 2021"),'AES Indiana Bill Calc.'!$D$21)</f>
        <v>0</v>
      </c>
      <c r="F937" s="36" t="s">
        <v>245</v>
      </c>
      <c r="G937" s="92" t="e">
        <f>SUM(J937:M937,R937:AA937)</f>
        <v>#N/A</v>
      </c>
      <c r="H937" s="19" t="e">
        <f>IF(ISBLANK(B937),0,+#REF!/B937)</f>
        <v>#REF!</v>
      </c>
      <c r="J937" s="109">
        <f t="shared" si="59"/>
        <v>215</v>
      </c>
      <c r="K937" s="92">
        <f t="shared" si="60"/>
        <v>-0.04</v>
      </c>
      <c r="L937" s="17">
        <f>IF(ISBLANK($C937),0,IF($C937&lt;$C$877,ROUND($C$877*$L$876,2),IF($C937&gt;L$877,ROUND(L$877*L$876,2),ROUND($C937*L$876,2))))</f>
        <v>50000</v>
      </c>
      <c r="M937" s="17">
        <f>IF($C937&gt;L$877,ROUND(($C937-L$877)*M$876,2),0)</f>
        <v>0</v>
      </c>
      <c r="N937" s="17">
        <f>K937</f>
        <v>-0.04</v>
      </c>
      <c r="O937" s="92"/>
      <c r="P937" s="92"/>
      <c r="Q937" s="17">
        <f>SUM(L937:M937)</f>
        <v>50000</v>
      </c>
      <c r="R937" s="110" t="e">
        <f>ROUND(SUM(K937:M937)*(R936-1),2)</f>
        <v>#N/A</v>
      </c>
      <c r="S937" s="92">
        <f>ROUND($B937*S$876*S936,2)</f>
        <v>0</v>
      </c>
      <c r="T937" s="92">
        <f>ROUND($B937*T$876,2)</f>
        <v>0.01</v>
      </c>
      <c r="U937" s="92">
        <f>ROUND($B937*U$876,2)</f>
        <v>0</v>
      </c>
      <c r="V937" s="32">
        <f>ROUND($B937*$V$872,2)</f>
        <v>0</v>
      </c>
      <c r="W937" s="92">
        <f>ROUND($B937*W$876,2)</f>
        <v>0</v>
      </c>
      <c r="X937" s="92">
        <f>ROUND($B937*X$876,2)</f>
        <v>0</v>
      </c>
      <c r="Y937" s="92">
        <f>ROUND($B937*Y$876,2)</f>
        <v>0</v>
      </c>
      <c r="Z937" s="92">
        <f>ROUND($B937*Z$876,2)</f>
        <v>0</v>
      </c>
      <c r="AA937" s="92">
        <f>ROUND($B937*AA$876,2)</f>
        <v>0</v>
      </c>
      <c r="AB937" s="19">
        <f>SUM(U$876:AA$876)+(-V$876+V923)</f>
        <v>2.3699999999999997E-3</v>
      </c>
      <c r="AC937" s="105" t="str">
        <f t="shared" si="62"/>
        <v>HL21</v>
      </c>
    </row>
    <row r="938" spans="1:29" ht="13" x14ac:dyDescent="0.3">
      <c r="A938" s="9"/>
      <c r="B938" s="103">
        <v>-1</v>
      </c>
      <c r="D938" s="32"/>
      <c r="E938" s="103"/>
      <c r="F938" s="36"/>
      <c r="G938" s="92"/>
      <c r="H938" s="19" t="e">
        <f>IF(ISBLANK(B938),0,+#REF!/B938)</f>
        <v>#REF!</v>
      </c>
      <c r="J938" s="109">
        <f t="shared" si="59"/>
        <v>215</v>
      </c>
      <c r="K938" s="92">
        <f t="shared" si="60"/>
        <v>-0.04</v>
      </c>
      <c r="L938" s="92">
        <f>IF(ISBLANK($E938),0,IF($E938&lt;$C$877,ROUND($C$877*$L$876,2),IF($E938&gt;L$877,ROUND(L$877*L$876,2),ROUND($E938*L$876,2))))</f>
        <v>0</v>
      </c>
      <c r="M938" s="92">
        <f>IF($E938&gt;L$877,ROUND(($E938-L$877)*M$876,2),0)</f>
        <v>0</v>
      </c>
      <c r="N938" s="92"/>
      <c r="O938" s="92"/>
      <c r="P938" s="92"/>
      <c r="Q938" s="92"/>
      <c r="R938" s="16" t="e">
        <f>VLOOKUP((D939),'Pwr Factor'!$A$1:$B$52,2)</f>
        <v>#N/A</v>
      </c>
      <c r="S938" s="50">
        <v>0</v>
      </c>
      <c r="T938" s="92"/>
      <c r="U938" s="92"/>
      <c r="V938" s="32"/>
      <c r="W938" s="92"/>
      <c r="X938" s="92"/>
      <c r="Y938" s="92"/>
      <c r="Z938" s="92"/>
      <c r="AA938" s="92"/>
      <c r="AB938" s="19"/>
      <c r="AC938" s="105">
        <f t="shared" si="62"/>
        <v>0</v>
      </c>
    </row>
    <row r="939" spans="1:29" ht="13" x14ac:dyDescent="0.3">
      <c r="A939" s="1" t="s">
        <v>147</v>
      </c>
      <c r="B939" s="103">
        <f>IF(AND('AES Indiana Bill Calc.'!$D$17="HL2",'AES Indiana Bill Calc.'!$D$18="No",'AES Indiana Bill Calc.'!$D$20="Yes 2021"),'AES Indiana Bill Calc.'!$D$19,-1)</f>
        <v>-1</v>
      </c>
      <c r="C939" s="103">
        <f>MAX(E939,$C$769)</f>
        <v>2000</v>
      </c>
      <c r="D939" s="103" t="b">
        <f>IF(AND('AES Indiana Bill Calc.'!$D$17="HL2",'AES Indiana Bill Calc.'!$D$18="No",'AES Indiana Bill Calc.'!$D$20="Yes 2021"),'AES Indiana Bill Calc.'!$D$22)</f>
        <v>0</v>
      </c>
      <c r="E939" s="103" t="b">
        <f>IF(AND('AES Indiana Bill Calc.'!$D$17="HL2",'AES Indiana Bill Calc.'!$D$18="No",'AES Indiana Bill Calc.'!$D$20="Yes 2021"),'AES Indiana Bill Calc.'!$D$21)</f>
        <v>0</v>
      </c>
      <c r="F939" s="36" t="s">
        <v>245</v>
      </c>
      <c r="G939" s="92" t="e">
        <f>SUM(J939:M939,R939:AA939)</f>
        <v>#N/A</v>
      </c>
      <c r="H939" s="19" t="e">
        <f>IF(ISBLANK(B939),0,+#REF!/B939)</f>
        <v>#REF!</v>
      </c>
      <c r="J939" s="109">
        <f t="shared" si="59"/>
        <v>215</v>
      </c>
      <c r="K939" s="92">
        <f t="shared" si="60"/>
        <v>-0.04</v>
      </c>
      <c r="L939" s="17">
        <f>IF(ISBLANK($C939),0,IF($C939&lt;$C$877,ROUND($C$877*$L$876,2),IF($C939&gt;L$877,ROUND(L$877*L$876,2),ROUND($C939*L$876,2))))</f>
        <v>50000</v>
      </c>
      <c r="M939" s="17">
        <f>IF($C939&gt;L$877,ROUND(($C939-L$877)*M$876,2),0)</f>
        <v>0</v>
      </c>
      <c r="N939" s="17">
        <f>K939</f>
        <v>-0.04</v>
      </c>
      <c r="O939" s="92"/>
      <c r="P939" s="92"/>
      <c r="Q939" s="17">
        <f>SUM(L939:M939)</f>
        <v>50000</v>
      </c>
      <c r="R939" s="110" t="e">
        <f>ROUND(SUM(K939:M939)*(R938-1),2)</f>
        <v>#N/A</v>
      </c>
      <c r="S939" s="92">
        <f>ROUND($B939*S$876*S938,2)</f>
        <v>0</v>
      </c>
      <c r="T939" s="92">
        <f>ROUND($B939*T$876,2)</f>
        <v>0.01</v>
      </c>
      <c r="U939" s="92">
        <f>ROUND($B939*U$876,2)</f>
        <v>0</v>
      </c>
      <c r="V939" s="32">
        <f>ROUND($B939*$V$872,2)</f>
        <v>0</v>
      </c>
      <c r="W939" s="92">
        <f>ROUND($B939*W$876,2)</f>
        <v>0</v>
      </c>
      <c r="X939" s="92">
        <f>ROUND($B939*X$876,2)</f>
        <v>0</v>
      </c>
      <c r="Y939" s="92">
        <f>ROUND($B939*Y$876,2)</f>
        <v>0</v>
      </c>
      <c r="Z939" s="92">
        <f>ROUND($B939*Z$876,2)</f>
        <v>0</v>
      </c>
      <c r="AA939" s="92">
        <f>ROUND($B939*AA$876,2)</f>
        <v>0</v>
      </c>
      <c r="AB939" s="19">
        <f>SUM(U$876:AA$876)+(-V$876+V925)</f>
        <v>2.3699999999999997E-3</v>
      </c>
      <c r="AC939" s="105" t="str">
        <f t="shared" si="62"/>
        <v>HL21</v>
      </c>
    </row>
    <row r="940" spans="1:29" ht="13" x14ac:dyDescent="0.3">
      <c r="B940" s="103">
        <v>-1</v>
      </c>
      <c r="D940" s="32"/>
      <c r="E940" s="103"/>
      <c r="F940" s="36"/>
      <c r="G940" s="92"/>
      <c r="H940" s="19" t="e">
        <f>IF(ISBLANK(B940),0,+#REF!/B940)</f>
        <v>#REF!</v>
      </c>
      <c r="J940" s="109">
        <f t="shared" si="59"/>
        <v>215</v>
      </c>
      <c r="K940" s="92">
        <f t="shared" si="60"/>
        <v>-0.04</v>
      </c>
      <c r="L940" s="92">
        <f>IF(ISBLANK($E940),0,IF($E940&lt;$C$877,ROUND($C$877*$L$876,2),IF($E940&gt;L$877,ROUND(L$877*L$876,2),ROUND($E940*L$876,2))))</f>
        <v>0</v>
      </c>
      <c r="M940" s="92">
        <f>IF($E940&gt;L$877,ROUND(($E940-L$877)*M$876,2),0)</f>
        <v>0</v>
      </c>
      <c r="N940" s="92"/>
      <c r="O940" s="92"/>
      <c r="P940" s="92"/>
      <c r="Q940" s="92"/>
      <c r="R940" s="16" t="e">
        <f>VLOOKUP((D941),'Pwr Factor'!$A$1:$B$52,2)</f>
        <v>#N/A</v>
      </c>
      <c r="S940" s="50">
        <v>1</v>
      </c>
      <c r="T940" s="92"/>
      <c r="U940" s="92"/>
      <c r="V940" s="32"/>
      <c r="W940" s="92"/>
      <c r="X940" s="92"/>
      <c r="Y940" s="92"/>
      <c r="Z940" s="92"/>
      <c r="AA940" s="92"/>
      <c r="AB940" s="19"/>
      <c r="AC940" s="105">
        <f t="shared" si="62"/>
        <v>0</v>
      </c>
    </row>
    <row r="941" spans="1:29" ht="13" x14ac:dyDescent="0.3">
      <c r="A941" s="1" t="s">
        <v>148</v>
      </c>
      <c r="B941" s="103">
        <f>IF(AND('AES Indiana Bill Calc.'!$D$17="HL2",'AES Indiana Bill Calc.'!$D$18="Yes 100%",'AES Indiana Bill Calc.'!$D$20="Yes 2022"),'AES Indiana Bill Calc.'!$D$19,-1)</f>
        <v>-1</v>
      </c>
      <c r="C941" s="103">
        <f>MAX(E941,$C$769)</f>
        <v>2000</v>
      </c>
      <c r="D941" s="103" t="b">
        <f>IF(AND('AES Indiana Bill Calc.'!$D$17="HL2",'AES Indiana Bill Calc.'!$D$18="Yes 100%",'AES Indiana Bill Calc.'!$D$20="Yes 2022"),'AES Indiana Bill Calc.'!$D$22)</f>
        <v>0</v>
      </c>
      <c r="E941" s="103" t="b">
        <f>IF(AND('AES Indiana Bill Calc.'!$D$17="HL2",'AES Indiana Bill Calc.'!$D$18="Yes 100%",'AES Indiana Bill Calc.'!$D$20="Yes 2022"),'AES Indiana Bill Calc.'!$D$21)</f>
        <v>0</v>
      </c>
      <c r="F941" s="36" t="s">
        <v>246</v>
      </c>
      <c r="G941" s="92" t="e">
        <f>SUM(J941:M941,R941:AA941)</f>
        <v>#N/A</v>
      </c>
      <c r="H941" s="19" t="e">
        <f>IF(ISBLANK(B941),0,+#REF!/B941)</f>
        <v>#REF!</v>
      </c>
      <c r="J941" s="109">
        <f t="shared" si="59"/>
        <v>215</v>
      </c>
      <c r="K941" s="92">
        <f t="shared" si="60"/>
        <v>-0.04</v>
      </c>
      <c r="L941" s="17">
        <f>IF(ISBLANK($C941),0,IF($C941&lt;$C$877,ROUND($C$877*$L$876,2),IF($C941&gt;L$877,ROUND(L$877*L$876,2),ROUND($C941*L$876,2))))</f>
        <v>50000</v>
      </c>
      <c r="M941" s="17">
        <f>IF($C941&gt;L$877,ROUND(($C941-L$877)*M$876,2),0)</f>
        <v>0</v>
      </c>
      <c r="N941" s="17">
        <f>K941</f>
        <v>-0.04</v>
      </c>
      <c r="O941" s="92"/>
      <c r="P941" s="92"/>
      <c r="Q941" s="17">
        <f>SUM(L941:M941)</f>
        <v>50000</v>
      </c>
      <c r="R941" s="110" t="e">
        <f>ROUND(SUM(K941:M941)*(R940-1),2)</f>
        <v>#N/A</v>
      </c>
      <c r="S941" s="92">
        <f>ROUND($B941*S$876*S940,2)</f>
        <v>0</v>
      </c>
      <c r="T941" s="92">
        <f>ROUND($B941*T$876,2)</f>
        <v>0.01</v>
      </c>
      <c r="U941" s="92">
        <f>ROUND($B941*U$876,2)</f>
        <v>0</v>
      </c>
      <c r="V941" s="32">
        <f>ROUND($B941*$V$873,2)</f>
        <v>0</v>
      </c>
      <c r="W941" s="92">
        <f>ROUND($B941*W$876,2)</f>
        <v>0</v>
      </c>
      <c r="X941" s="92">
        <f>ROUND($B941*X$876,2)</f>
        <v>0</v>
      </c>
      <c r="Y941" s="92">
        <f>ROUND($B941*Y$876,2)</f>
        <v>0</v>
      </c>
      <c r="Z941" s="92">
        <f>ROUND($B941*Z$876,2)</f>
        <v>0</v>
      </c>
      <c r="AA941" s="92">
        <f>ROUND($B941*AA$876,2)</f>
        <v>0</v>
      </c>
      <c r="AB941" s="19">
        <f>SUM(U$876:AA$876)+(-V$876+V927)</f>
        <v>2.3699999999999997E-3</v>
      </c>
      <c r="AC941" s="105" t="str">
        <f t="shared" si="62"/>
        <v>HL22</v>
      </c>
    </row>
    <row r="942" spans="1:29" ht="13" x14ac:dyDescent="0.3">
      <c r="A942" s="9"/>
      <c r="B942" s="103">
        <v>-1</v>
      </c>
      <c r="D942" s="32"/>
      <c r="E942" s="103"/>
      <c r="F942" s="36"/>
      <c r="G942" s="92"/>
      <c r="H942" s="19" t="e">
        <f>IF(ISBLANK(B942),0,+#REF!/B942)</f>
        <v>#REF!</v>
      </c>
      <c r="J942" s="109">
        <f t="shared" si="59"/>
        <v>215</v>
      </c>
      <c r="K942" s="92">
        <f t="shared" si="60"/>
        <v>-0.04</v>
      </c>
      <c r="L942" s="92">
        <f>IF(ISBLANK($E942),0,IF($E942&lt;$C$877,ROUND($C$877*$L$876,2),IF($E942&gt;L$877,ROUND(L$877*L$876,2),ROUND($E942*L$876,2))))</f>
        <v>0</v>
      </c>
      <c r="M942" s="92">
        <f>IF($E942&gt;L$877,ROUND(($E942-L$877)*M$876,2),0)</f>
        <v>0</v>
      </c>
      <c r="N942" s="92"/>
      <c r="O942" s="92"/>
      <c r="P942" s="92"/>
      <c r="Q942" s="92"/>
      <c r="R942" s="16" t="e">
        <f>VLOOKUP((D943),'Pwr Factor'!$A$1:$B$52,2)</f>
        <v>#N/A</v>
      </c>
      <c r="S942" s="50">
        <v>0.5</v>
      </c>
      <c r="T942" s="92"/>
      <c r="U942" s="92"/>
      <c r="V942" s="32"/>
      <c r="W942" s="92"/>
      <c r="X942" s="92"/>
      <c r="Y942" s="92"/>
      <c r="Z942" s="92"/>
      <c r="AA942" s="92"/>
      <c r="AB942" s="19"/>
      <c r="AC942" s="105">
        <f t="shared" si="62"/>
        <v>0</v>
      </c>
    </row>
    <row r="943" spans="1:29" ht="13" x14ac:dyDescent="0.3">
      <c r="A943" s="1" t="s">
        <v>149</v>
      </c>
      <c r="B943" s="103">
        <f>IF(AND('AES Indiana Bill Calc.'!$D$17="HL2",'AES Indiana Bill Calc.'!$D$18="Yes 50%",'AES Indiana Bill Calc.'!$D$20="Yes 2022"),'AES Indiana Bill Calc.'!$D$19,-1)</f>
        <v>-1</v>
      </c>
      <c r="C943" s="103">
        <f>MAX(E943,$C$769)</f>
        <v>2000</v>
      </c>
      <c r="D943" s="103" t="b">
        <f>IF(AND('AES Indiana Bill Calc.'!$D$17="HL2",'AES Indiana Bill Calc.'!$D$18="Yes 50%",'AES Indiana Bill Calc.'!$D$20="Yes 2022"),'AES Indiana Bill Calc.'!$D$22)</f>
        <v>0</v>
      </c>
      <c r="E943" s="103" t="b">
        <f>IF(AND('AES Indiana Bill Calc.'!$D$17="HL2",'AES Indiana Bill Calc.'!$D$18="Yes 50%",'AES Indiana Bill Calc.'!$D$20="Yes 2022"),'AES Indiana Bill Calc.'!$D$21)</f>
        <v>0</v>
      </c>
      <c r="F943" s="36" t="s">
        <v>246</v>
      </c>
      <c r="G943" s="92" t="e">
        <f>SUM(J943:M943,R943:AA943)</f>
        <v>#N/A</v>
      </c>
      <c r="H943" s="19" t="e">
        <f>IF(ISBLANK(B943),0,+#REF!/B943)</f>
        <v>#REF!</v>
      </c>
      <c r="J943" s="109">
        <f t="shared" si="59"/>
        <v>215</v>
      </c>
      <c r="K943" s="92">
        <f t="shared" si="60"/>
        <v>-0.04</v>
      </c>
      <c r="L943" s="17">
        <f>IF(ISBLANK($C943),0,IF($C943&lt;$C$877,ROUND($C$877*$L$876,2),IF($C943&gt;L$877,ROUND(L$877*L$876,2),ROUND($C943*L$876,2))))</f>
        <v>50000</v>
      </c>
      <c r="M943" s="17">
        <f>IF($C943&gt;L$877,ROUND(($C943-L$877)*M$876,2),0)</f>
        <v>0</v>
      </c>
      <c r="N943" s="17">
        <f>K943</f>
        <v>-0.04</v>
      </c>
      <c r="O943" s="92"/>
      <c r="P943" s="92"/>
      <c r="Q943" s="17">
        <f>SUM(L943:M943)</f>
        <v>50000</v>
      </c>
      <c r="R943" s="110" t="e">
        <f>ROUND(SUM(K943:M943)*(R942-1),2)</f>
        <v>#N/A</v>
      </c>
      <c r="S943" s="92">
        <f>ROUND($B943*S$876*S942,2)</f>
        <v>0</v>
      </c>
      <c r="T943" s="92">
        <f>ROUND($B943*T$876,2)</f>
        <v>0.01</v>
      </c>
      <c r="U943" s="92">
        <f>ROUND($B943*U$876,2)</f>
        <v>0</v>
      </c>
      <c r="V943" s="32">
        <f>ROUND($B943*$V$873,2)</f>
        <v>0</v>
      </c>
      <c r="W943" s="92">
        <f>ROUND($B943*W$876,2)</f>
        <v>0</v>
      </c>
      <c r="X943" s="92">
        <f>ROUND($B943*X$876,2)</f>
        <v>0</v>
      </c>
      <c r="Y943" s="92">
        <f>ROUND($B943*Y$876,2)</f>
        <v>0</v>
      </c>
      <c r="Z943" s="92">
        <f>ROUND($B943*Z$876,2)</f>
        <v>0</v>
      </c>
      <c r="AA943" s="92">
        <f>ROUND($B943*AA$876,2)</f>
        <v>0</v>
      </c>
      <c r="AB943" s="19">
        <f>SUM(U$876:AA$876)+(-V$876+V929)</f>
        <v>2.3699999999999997E-3</v>
      </c>
      <c r="AC943" s="105" t="str">
        <f t="shared" si="62"/>
        <v>HL22</v>
      </c>
    </row>
    <row r="944" spans="1:29" ht="13" x14ac:dyDescent="0.3">
      <c r="A944" s="9"/>
      <c r="B944" s="103">
        <v>-1</v>
      </c>
      <c r="D944" s="32"/>
      <c r="E944" s="103"/>
      <c r="F944" s="36"/>
      <c r="G944" s="92"/>
      <c r="H944" s="19" t="e">
        <f>IF(ISBLANK(B944),0,+#REF!/B944)</f>
        <v>#REF!</v>
      </c>
      <c r="J944" s="109">
        <f t="shared" si="59"/>
        <v>215</v>
      </c>
      <c r="K944" s="92">
        <f t="shared" si="60"/>
        <v>-0.04</v>
      </c>
      <c r="L944" s="92">
        <f>IF(ISBLANK($E944),0,IF($E944&lt;$C$877,ROUND($C$877*$L$876,2),IF($E944&gt;L$877,ROUND(L$877*L$876,2),ROUND($E944*L$876,2))))</f>
        <v>0</v>
      </c>
      <c r="M944" s="92">
        <f>IF($E944&gt;L$877,ROUND(($E944-L$877)*M$876,2),0)</f>
        <v>0</v>
      </c>
      <c r="N944" s="92"/>
      <c r="O944" s="92"/>
      <c r="P944" s="92"/>
      <c r="Q944" s="92"/>
      <c r="R944" s="16" t="e">
        <f>VLOOKUP((D945),'Pwr Factor'!$A$1:$B$52,2)</f>
        <v>#N/A</v>
      </c>
      <c r="S944" s="50">
        <v>0.25</v>
      </c>
      <c r="T944" s="92"/>
      <c r="U944" s="92"/>
      <c r="V944" s="32"/>
      <c r="W944" s="92"/>
      <c r="X944" s="92"/>
      <c r="Y944" s="92"/>
      <c r="Z944" s="92"/>
      <c r="AA944" s="92"/>
      <c r="AB944" s="19"/>
      <c r="AC944" s="105">
        <f t="shared" si="62"/>
        <v>0</v>
      </c>
    </row>
    <row r="945" spans="1:29" ht="13" x14ac:dyDescent="0.3">
      <c r="A945" s="1" t="s">
        <v>150</v>
      </c>
      <c r="B945" s="103">
        <f>IF(AND('AES Indiana Bill Calc.'!$D$17="HL2",'AES Indiana Bill Calc.'!$D$18="Yes 25%",'AES Indiana Bill Calc.'!$D$20="Yes 2022"),'AES Indiana Bill Calc.'!$D$19,-1)</f>
        <v>-1</v>
      </c>
      <c r="C945" s="103">
        <f>MAX(E945,$C$769)</f>
        <v>2000</v>
      </c>
      <c r="D945" s="103" t="b">
        <f>IF(AND('AES Indiana Bill Calc.'!$D$17="HL2",'AES Indiana Bill Calc.'!$D$18="Yes 25%",'AES Indiana Bill Calc.'!$D$20="Yes 2022"),'AES Indiana Bill Calc.'!$D$22)</f>
        <v>0</v>
      </c>
      <c r="E945" s="103" t="b">
        <f>IF(AND('AES Indiana Bill Calc.'!$D$17="HL2",'AES Indiana Bill Calc.'!$D$18="Yes 25%",'AES Indiana Bill Calc.'!$D$20="Yes 2022"),'AES Indiana Bill Calc.'!$D$21)</f>
        <v>0</v>
      </c>
      <c r="F945" s="36" t="s">
        <v>246</v>
      </c>
      <c r="G945" s="92" t="e">
        <f>SUM(J945:M945,R945:AA945)</f>
        <v>#N/A</v>
      </c>
      <c r="H945" s="19" t="e">
        <f>IF(ISBLANK(B945),0,+#REF!/B945)</f>
        <v>#REF!</v>
      </c>
      <c r="J945" s="109">
        <f t="shared" si="59"/>
        <v>215</v>
      </c>
      <c r="K945" s="92">
        <f t="shared" si="60"/>
        <v>-0.04</v>
      </c>
      <c r="L945" s="17">
        <f>IF(ISBLANK($C945),0,IF($C945&lt;$C$877,ROUND($C$877*$L$876,2),IF($C945&gt;L$877,ROUND(L$877*L$876,2),ROUND($C945*L$876,2))))</f>
        <v>50000</v>
      </c>
      <c r="M945" s="17">
        <f>IF($C945&gt;L$877,ROUND(($C945-L$877)*M$876,2),0)</f>
        <v>0</v>
      </c>
      <c r="N945" s="17">
        <f>K945</f>
        <v>-0.04</v>
      </c>
      <c r="O945" s="92"/>
      <c r="P945" s="92"/>
      <c r="Q945" s="17">
        <f>SUM(L945:M945)</f>
        <v>50000</v>
      </c>
      <c r="R945" s="110" t="e">
        <f>ROUND(SUM(K945:M945)*(R944-1),2)</f>
        <v>#N/A</v>
      </c>
      <c r="S945" s="92">
        <f>ROUND($B945*S$876*S944,2)</f>
        <v>0</v>
      </c>
      <c r="T945" s="92">
        <f>ROUND($B945*T$876,2)</f>
        <v>0.01</v>
      </c>
      <c r="U945" s="92">
        <f>ROUND($B945*U$876,2)</f>
        <v>0</v>
      </c>
      <c r="V945" s="32">
        <f>ROUND($B945*$V$873,2)</f>
        <v>0</v>
      </c>
      <c r="W945" s="92">
        <f>ROUND($B945*W$876,2)</f>
        <v>0</v>
      </c>
      <c r="X945" s="92">
        <f>ROUND($B945*X$876,2)</f>
        <v>0</v>
      </c>
      <c r="Y945" s="92">
        <f>ROUND($B945*Y$876,2)</f>
        <v>0</v>
      </c>
      <c r="Z945" s="92">
        <f>ROUND($B945*Z$876,2)</f>
        <v>0</v>
      </c>
      <c r="AA945" s="92">
        <f>ROUND($B945*AA$876,2)</f>
        <v>0</v>
      </c>
      <c r="AB945" s="19">
        <f>SUM(U$876:AA$876)+(-V$876+V931)</f>
        <v>2.3699999999999997E-3</v>
      </c>
      <c r="AC945" s="105" t="str">
        <f t="shared" si="62"/>
        <v>HL22</v>
      </c>
    </row>
    <row r="946" spans="1:29" ht="13" x14ac:dyDescent="0.3">
      <c r="A946" s="9"/>
      <c r="B946" s="103">
        <v>-1</v>
      </c>
      <c r="D946" s="32"/>
      <c r="E946" s="103"/>
      <c r="F946" s="36"/>
      <c r="G946" s="92"/>
      <c r="H946" s="19" t="e">
        <f>IF(ISBLANK(B946),0,+#REF!/B946)</f>
        <v>#REF!</v>
      </c>
      <c r="J946" s="109">
        <f t="shared" si="59"/>
        <v>215</v>
      </c>
      <c r="K946" s="92">
        <f t="shared" si="60"/>
        <v>-0.04</v>
      </c>
      <c r="L946" s="92">
        <f>IF(ISBLANK($E946),0,IF($E946&lt;$C$877,ROUND($C$877*$L$876,2),IF($E946&gt;L$877,ROUND(L$877*L$876,2),ROUND($E946*L$876,2))))</f>
        <v>0</v>
      </c>
      <c r="M946" s="92">
        <f>IF($E946&gt;L$877,ROUND(($E946-L$877)*M$876,2),0)</f>
        <v>0</v>
      </c>
      <c r="N946" s="92"/>
      <c r="O946" s="92"/>
      <c r="P946" s="92"/>
      <c r="Q946" s="92"/>
      <c r="R946" s="16" t="e">
        <f>VLOOKUP((D947),'Pwr Factor'!$A$1:$B$52,2)</f>
        <v>#N/A</v>
      </c>
      <c r="S946" s="50">
        <v>0.1</v>
      </c>
      <c r="T946" s="92"/>
      <c r="U946" s="92"/>
      <c r="V946" s="32"/>
      <c r="W946" s="92"/>
      <c r="X946" s="92"/>
      <c r="Y946" s="92"/>
      <c r="Z946" s="92"/>
      <c r="AA946" s="92"/>
      <c r="AB946" s="19"/>
      <c r="AC946" s="105">
        <f t="shared" si="62"/>
        <v>0</v>
      </c>
    </row>
    <row r="947" spans="1:29" ht="13" x14ac:dyDescent="0.3">
      <c r="A947" s="1" t="s">
        <v>164</v>
      </c>
      <c r="B947" s="103">
        <f>IF(AND('AES Indiana Bill Calc.'!$D$17="HL2",'AES Indiana Bill Calc.'!$D$18="Yes 10%",'AES Indiana Bill Calc.'!$D$20="Yes 2022"),'AES Indiana Bill Calc.'!$D$19,-1)</f>
        <v>-1</v>
      </c>
      <c r="C947" s="103">
        <f>MAX(E947,$C$769)</f>
        <v>2000</v>
      </c>
      <c r="D947" s="103" t="b">
        <f>IF(AND('AES Indiana Bill Calc.'!$D$17="HL2",'AES Indiana Bill Calc.'!$D$18="Yes 10%",'AES Indiana Bill Calc.'!$D$20="Yes 2022"),'AES Indiana Bill Calc.'!$D$22)</f>
        <v>0</v>
      </c>
      <c r="E947" s="103" t="b">
        <f>IF(AND('AES Indiana Bill Calc.'!$D$17="HL2",'AES Indiana Bill Calc.'!$D$18="Yes 10%",'AES Indiana Bill Calc.'!$D$20="Yes 2022"),'AES Indiana Bill Calc.'!$D$21)</f>
        <v>0</v>
      </c>
      <c r="F947" s="36" t="s">
        <v>246</v>
      </c>
      <c r="G947" s="92" t="e">
        <f>SUM(J947:M947,R947:AA947)</f>
        <v>#N/A</v>
      </c>
      <c r="H947" s="19" t="e">
        <f>IF(ISBLANK(B947),0,+#REF!/B947)</f>
        <v>#REF!</v>
      </c>
      <c r="J947" s="109">
        <f t="shared" si="59"/>
        <v>215</v>
      </c>
      <c r="K947" s="92">
        <f t="shared" si="60"/>
        <v>-0.04</v>
      </c>
      <c r="L947" s="17">
        <f>IF(ISBLANK($C947),0,IF($C947&lt;$C$877,ROUND($C$877*$L$876,2),IF($C947&gt;L$877,ROUND(L$877*L$876,2),ROUND($C947*L$876,2))))</f>
        <v>50000</v>
      </c>
      <c r="M947" s="17">
        <f>IF($C947&gt;L$877,ROUND(($C947-L$877)*M$876,2),0)</f>
        <v>0</v>
      </c>
      <c r="N947" s="17">
        <f>K947</f>
        <v>-0.04</v>
      </c>
      <c r="O947" s="92"/>
      <c r="P947" s="92"/>
      <c r="Q947" s="17">
        <f>SUM(L947:M947)</f>
        <v>50000</v>
      </c>
      <c r="R947" s="110" t="e">
        <f>ROUND(SUM(K947:M947)*(R946-1),2)</f>
        <v>#N/A</v>
      </c>
      <c r="S947" s="92">
        <f>ROUND($B947*S$876*S946,2)</f>
        <v>0</v>
      </c>
      <c r="T947" s="92">
        <f>ROUND($B947*T$876,2)</f>
        <v>0.01</v>
      </c>
      <c r="U947" s="92">
        <f>ROUND($B947*U$876,2)</f>
        <v>0</v>
      </c>
      <c r="V947" s="32">
        <f>ROUND($B947*$V$873,2)</f>
        <v>0</v>
      </c>
      <c r="W947" s="92">
        <f>ROUND($B947*W$876,2)</f>
        <v>0</v>
      </c>
      <c r="X947" s="92">
        <f>ROUND($B947*X$876,2)</f>
        <v>0</v>
      </c>
      <c r="Y947" s="92">
        <f>ROUND($B947*Y$876,2)</f>
        <v>0</v>
      </c>
      <c r="Z947" s="92">
        <f>ROUND($B947*Z$876,2)</f>
        <v>0</v>
      </c>
      <c r="AA947" s="92">
        <f>ROUND($B947*AA$876,2)</f>
        <v>0</v>
      </c>
      <c r="AB947" s="19">
        <f>SUM(U$876:AA$876)+(-V$876+V933)</f>
        <v>2.3699999999999997E-3</v>
      </c>
      <c r="AC947" s="105" t="str">
        <f t="shared" si="62"/>
        <v>HL22</v>
      </c>
    </row>
    <row r="948" spans="1:29" ht="13" x14ac:dyDescent="0.3">
      <c r="A948" s="9"/>
      <c r="B948" s="103">
        <v>-1</v>
      </c>
      <c r="D948" s="32"/>
      <c r="E948" s="103"/>
      <c r="F948" s="36"/>
      <c r="G948" s="92"/>
      <c r="H948" s="19" t="e">
        <f>IF(ISBLANK(B948),0,+#REF!/B948)</f>
        <v>#REF!</v>
      </c>
      <c r="J948" s="109">
        <f t="shared" si="59"/>
        <v>215</v>
      </c>
      <c r="K948" s="92">
        <f t="shared" si="60"/>
        <v>-0.04</v>
      </c>
      <c r="L948" s="92">
        <f>IF(ISBLANK($E948),0,IF($E948&lt;$C$877,ROUND($C$877*$L$876,2),IF($E948&gt;L$877,ROUND(L$877*L$876,2),ROUND($E948*L$876,2))))</f>
        <v>0</v>
      </c>
      <c r="M948" s="92">
        <f>IF($E948&gt;L$877,ROUND(($E948-L$877)*M$876,2),0)</f>
        <v>0</v>
      </c>
      <c r="N948" s="92"/>
      <c r="O948" s="92"/>
      <c r="P948" s="92"/>
      <c r="Q948" s="92"/>
      <c r="R948" s="16" t="e">
        <f>VLOOKUP((D949),'Pwr Factor'!$A$1:$B$52,2)</f>
        <v>#N/A</v>
      </c>
      <c r="S948" s="50">
        <v>0</v>
      </c>
      <c r="T948" s="92"/>
      <c r="U948" s="92"/>
      <c r="V948" s="32"/>
      <c r="W948" s="92"/>
      <c r="X948" s="92"/>
      <c r="Y948" s="92"/>
      <c r="Z948" s="92"/>
      <c r="AA948" s="92"/>
      <c r="AB948" s="19"/>
      <c r="AC948" s="105">
        <f t="shared" si="62"/>
        <v>0</v>
      </c>
    </row>
    <row r="949" spans="1:29" ht="13" x14ac:dyDescent="0.3">
      <c r="A949" s="1" t="s">
        <v>147</v>
      </c>
      <c r="B949" s="103">
        <f>IF(AND('AES Indiana Bill Calc.'!$D$17="HL2",'AES Indiana Bill Calc.'!$D$18="No",'AES Indiana Bill Calc.'!$D$20="Yes 2022"),'AES Indiana Bill Calc.'!$D$19,-1)</f>
        <v>-1</v>
      </c>
      <c r="C949" s="103">
        <f>MAX(E949,$C$769)</f>
        <v>2000</v>
      </c>
      <c r="D949" s="103" t="b">
        <f>IF(AND('AES Indiana Bill Calc.'!$D$17="HL2",'AES Indiana Bill Calc.'!$D$18="No",'AES Indiana Bill Calc.'!$D$20="Yes 2022"),'AES Indiana Bill Calc.'!$D$22)</f>
        <v>0</v>
      </c>
      <c r="E949" s="103" t="b">
        <f>IF(AND('AES Indiana Bill Calc.'!$D$17="HL2",'AES Indiana Bill Calc.'!$D$18="No",'AES Indiana Bill Calc.'!$D$20="Yes 2022"),'AES Indiana Bill Calc.'!$D$21)</f>
        <v>0</v>
      </c>
      <c r="F949" s="36" t="s">
        <v>246</v>
      </c>
      <c r="G949" s="92" t="e">
        <f>SUM(J949:M949,R949:AA949)</f>
        <v>#N/A</v>
      </c>
      <c r="H949" s="19" t="e">
        <f>IF(ISBLANK(B949),0,+#REF!/B949)</f>
        <v>#REF!</v>
      </c>
      <c r="J949" s="109">
        <f t="shared" si="59"/>
        <v>215</v>
      </c>
      <c r="K949" s="92">
        <f t="shared" si="60"/>
        <v>-0.04</v>
      </c>
      <c r="L949" s="17">
        <f>IF(ISBLANK($C949),0,IF($C949&lt;$C$877,ROUND($C$877*$L$876,2),IF($C949&gt;L$877,ROUND(L$877*L$876,2),ROUND($C949*L$876,2))))</f>
        <v>50000</v>
      </c>
      <c r="M949" s="17">
        <f>IF($C949&gt;L$877,ROUND(($C949-L$877)*M$876,2),0)</f>
        <v>0</v>
      </c>
      <c r="N949" s="17">
        <f>K949</f>
        <v>-0.04</v>
      </c>
      <c r="O949" s="92"/>
      <c r="P949" s="92"/>
      <c r="Q949" s="17">
        <f>SUM(L949:M949)</f>
        <v>50000</v>
      </c>
      <c r="R949" s="110" t="e">
        <f>ROUND(SUM(K949:M949)*(R948-1),2)</f>
        <v>#N/A</v>
      </c>
      <c r="S949" s="92">
        <f>ROUND($B949*S$876*S948,2)</f>
        <v>0</v>
      </c>
      <c r="T949" s="92">
        <f>ROUND($B949*T$876,2)</f>
        <v>0.01</v>
      </c>
      <c r="U949" s="92">
        <f>ROUND($B949*U$876,2)</f>
        <v>0</v>
      </c>
      <c r="V949" s="32">
        <f>ROUND($B949*$V$873,2)</f>
        <v>0</v>
      </c>
      <c r="W949" s="92">
        <f>ROUND($B949*W$876,2)</f>
        <v>0</v>
      </c>
      <c r="X949" s="92">
        <f>ROUND($B949*X$876,2)</f>
        <v>0</v>
      </c>
      <c r="Y949" s="92">
        <f>ROUND($B949*Y$876,2)</f>
        <v>0</v>
      </c>
      <c r="Z949" s="92">
        <f>ROUND($B949*Z$876,2)</f>
        <v>0</v>
      </c>
      <c r="AA949" s="92">
        <f>ROUND($B949*AA$876,2)</f>
        <v>0</v>
      </c>
      <c r="AB949" s="19">
        <f>SUM(U$876:AA$876)+(-V$876+V935)</f>
        <v>2.3699999999999997E-3</v>
      </c>
      <c r="AC949" s="105" t="str">
        <f t="shared" si="62"/>
        <v>HL22</v>
      </c>
    </row>
    <row r="950" spans="1:29" ht="13" x14ac:dyDescent="0.3">
      <c r="B950" s="103">
        <v>-1</v>
      </c>
      <c r="D950" s="32"/>
      <c r="E950" s="103"/>
      <c r="F950" s="36"/>
      <c r="G950" s="92"/>
      <c r="H950" s="19" t="e">
        <f>IF(ISBLANK(B950),0,+#REF!/B950)</f>
        <v>#REF!</v>
      </c>
      <c r="J950" s="109">
        <f t="shared" si="59"/>
        <v>215</v>
      </c>
      <c r="K950" s="92">
        <f t="shared" si="60"/>
        <v>-0.04</v>
      </c>
      <c r="L950" s="92">
        <f>IF(ISBLANK($E950),0,IF($E950&lt;$C$877,ROUND($C$877*$L$876,2),IF($E950&gt;L$877,ROUND(L$877*L$876,2),ROUND($E950*L$876,2))))</f>
        <v>0</v>
      </c>
      <c r="M950" s="92">
        <f>IF($E950&gt;L$877,ROUND(($E950-L$877)*M$876,2),0)</f>
        <v>0</v>
      </c>
      <c r="N950" s="92"/>
      <c r="O950" s="92"/>
      <c r="P950" s="92"/>
      <c r="Q950" s="92"/>
      <c r="R950" s="16" t="e">
        <f>VLOOKUP((D951),'Pwr Factor'!$A$1:$B$52,2)</f>
        <v>#N/A</v>
      </c>
      <c r="S950" s="50">
        <v>1</v>
      </c>
      <c r="T950" s="92"/>
      <c r="U950" s="92"/>
      <c r="V950" s="32"/>
      <c r="W950" s="92"/>
      <c r="X950" s="92"/>
      <c r="Y950" s="92"/>
      <c r="Z950" s="92"/>
      <c r="AA950" s="92"/>
      <c r="AB950" s="19"/>
      <c r="AC950" s="105">
        <f t="shared" si="62"/>
        <v>0</v>
      </c>
    </row>
    <row r="951" spans="1:29" ht="13" x14ac:dyDescent="0.3">
      <c r="A951" s="1" t="s">
        <v>148</v>
      </c>
      <c r="B951" s="103">
        <f>IF(AND('AES Indiana Bill Calc.'!$D$17="HL2",'AES Indiana Bill Calc.'!$D$18="Yes 100%",'AES Indiana Bill Calc.'!$D$20="Yes 2023"),'AES Indiana Bill Calc.'!$D$19,-1)</f>
        <v>-1</v>
      </c>
      <c r="C951" s="103">
        <f>MAX(E951,$C$769)</f>
        <v>2000</v>
      </c>
      <c r="D951" s="103" t="b">
        <f>IF(AND('AES Indiana Bill Calc.'!$D$17="HL2",'AES Indiana Bill Calc.'!$D$18="Yes 100%",'AES Indiana Bill Calc.'!$D$20="Yes 2023"),'AES Indiana Bill Calc.'!$D$22)</f>
        <v>0</v>
      </c>
      <c r="E951" s="103" t="b">
        <f>IF(AND('AES Indiana Bill Calc.'!$D$17="HL2",'AES Indiana Bill Calc.'!$D$18="Yes 100%",'AES Indiana Bill Calc.'!$D$20="Yes 2023"),'AES Indiana Bill Calc.'!$D$21)</f>
        <v>0</v>
      </c>
      <c r="F951" s="36" t="s">
        <v>302</v>
      </c>
      <c r="G951" s="92" t="e">
        <f>SUM(J951:M951,R951:AA951)</f>
        <v>#N/A</v>
      </c>
      <c r="H951" s="19" t="e">
        <f>IF(ISBLANK(B951),0,+#REF!/B951)</f>
        <v>#REF!</v>
      </c>
      <c r="J951" s="109">
        <f t="shared" si="59"/>
        <v>215</v>
      </c>
      <c r="K951" s="92">
        <f t="shared" si="60"/>
        <v>-0.04</v>
      </c>
      <c r="L951" s="17">
        <f>IF(ISBLANK($C951),0,IF($C951&lt;$C$877,ROUND($C$877*$L$876,2),IF($C951&gt;L$877,ROUND(L$877*L$876,2),ROUND($C951*L$876,2))))</f>
        <v>50000</v>
      </c>
      <c r="M951" s="17">
        <f>IF($C951&gt;L$877,ROUND(($C951-L$877)*M$876,2),0)</f>
        <v>0</v>
      </c>
      <c r="N951" s="17">
        <f>K951</f>
        <v>-0.04</v>
      </c>
      <c r="O951" s="92"/>
      <c r="P951" s="92"/>
      <c r="Q951" s="17">
        <f>SUM(L951:M951)</f>
        <v>50000</v>
      </c>
      <c r="R951" s="110" t="e">
        <f>ROUND(SUM(K951:M951)*(R950-1),2)</f>
        <v>#N/A</v>
      </c>
      <c r="S951" s="92">
        <f>ROUND($B951*S$876*S950,2)</f>
        <v>0</v>
      </c>
      <c r="T951" s="92">
        <f>ROUND($B951*T$876,2)</f>
        <v>0.01</v>
      </c>
      <c r="U951" s="92">
        <f>ROUND($B951*U$876,2)</f>
        <v>0</v>
      </c>
      <c r="V951" s="32">
        <f>ROUND($B951*$V$874,2)</f>
        <v>0</v>
      </c>
      <c r="W951" s="92">
        <f>ROUND($B951*W$876,2)</f>
        <v>0</v>
      </c>
      <c r="X951" s="92">
        <f>ROUND($B951*X$876,2)</f>
        <v>0</v>
      </c>
      <c r="Y951" s="92">
        <f>ROUND($B951*Y$876,2)</f>
        <v>0</v>
      </c>
      <c r="Z951" s="92">
        <f>ROUND($B951*Z$876,2)</f>
        <v>0</v>
      </c>
      <c r="AA951" s="92">
        <f>ROUND($B951*AA$876,2)</f>
        <v>0</v>
      </c>
      <c r="AB951" s="19">
        <f>SUM(U$876:AA$876)+(-V$876+V937)</f>
        <v>2.3699999999999997E-3</v>
      </c>
      <c r="AC951" s="105" t="str">
        <f t="shared" si="62"/>
        <v>HL23</v>
      </c>
    </row>
    <row r="952" spans="1:29" ht="13" x14ac:dyDescent="0.3">
      <c r="A952" s="9"/>
      <c r="B952" s="103">
        <v>-1</v>
      </c>
      <c r="D952" s="32"/>
      <c r="E952" s="103"/>
      <c r="F952" s="36"/>
      <c r="G952" s="92"/>
      <c r="H952" s="19" t="e">
        <f>IF(ISBLANK(B952),0,+#REF!/B952)</f>
        <v>#REF!</v>
      </c>
      <c r="J952" s="109">
        <f t="shared" si="59"/>
        <v>215</v>
      </c>
      <c r="K952" s="92">
        <f t="shared" si="60"/>
        <v>-0.04</v>
      </c>
      <c r="L952" s="92">
        <f>IF(ISBLANK($E952),0,IF($E952&lt;$C$877,ROUND($C$877*$L$876,2),IF($E952&gt;L$877,ROUND(L$877*L$876,2),ROUND($E952*L$876,2))))</f>
        <v>0</v>
      </c>
      <c r="M952" s="92">
        <f>IF($E952&gt;L$877,ROUND(($E952-L$877)*M$876,2),0)</f>
        <v>0</v>
      </c>
      <c r="N952" s="92"/>
      <c r="O952" s="92"/>
      <c r="P952" s="92"/>
      <c r="Q952" s="92"/>
      <c r="R952" s="16" t="e">
        <f>VLOOKUP((D953),'Pwr Factor'!$A$1:$B$52,2)</f>
        <v>#N/A</v>
      </c>
      <c r="S952" s="50">
        <v>0.5</v>
      </c>
      <c r="T952" s="92"/>
      <c r="U952" s="92"/>
      <c r="V952" s="32"/>
      <c r="W952" s="92"/>
      <c r="X952" s="92"/>
      <c r="Y952" s="92"/>
      <c r="Z952" s="92"/>
      <c r="AA952" s="92"/>
      <c r="AB952" s="19"/>
      <c r="AC952" s="105">
        <f t="shared" si="62"/>
        <v>0</v>
      </c>
    </row>
    <row r="953" spans="1:29" ht="13" x14ac:dyDescent="0.3">
      <c r="A953" s="1" t="s">
        <v>149</v>
      </c>
      <c r="B953" s="103">
        <f>IF(AND('AES Indiana Bill Calc.'!$D$17="HL2",'AES Indiana Bill Calc.'!$D$18="Yes 50%",'AES Indiana Bill Calc.'!$D$20="Yes 2023"),'AES Indiana Bill Calc.'!$D$19,-1)</f>
        <v>-1</v>
      </c>
      <c r="C953" s="103">
        <f>MAX(E953,$C$769)</f>
        <v>2000</v>
      </c>
      <c r="D953" s="103" t="b">
        <f>IF(AND('AES Indiana Bill Calc.'!$D$17="HL2",'AES Indiana Bill Calc.'!$D$18="Yes 50%",'AES Indiana Bill Calc.'!$D$20="Yes 2023"),'AES Indiana Bill Calc.'!$D$22)</f>
        <v>0</v>
      </c>
      <c r="E953" s="103" t="b">
        <f>IF(AND('AES Indiana Bill Calc.'!$D$17="HL2",'AES Indiana Bill Calc.'!$D$18="Yes 50%",'AES Indiana Bill Calc.'!$D$20="Yes 2023"),'AES Indiana Bill Calc.'!$D$21)</f>
        <v>0</v>
      </c>
      <c r="F953" s="36" t="s">
        <v>302</v>
      </c>
      <c r="G953" s="92" t="e">
        <f>SUM(J953:M953,R953:AA953)</f>
        <v>#N/A</v>
      </c>
      <c r="H953" s="19" t="e">
        <f>IF(ISBLANK(B953),0,+#REF!/B953)</f>
        <v>#REF!</v>
      </c>
      <c r="J953" s="109">
        <f t="shared" ref="J953:J962" si="63">IF(ISBLANK(B953),0,+J$876)</f>
        <v>215</v>
      </c>
      <c r="K953" s="92">
        <f t="shared" ref="K953:K969" si="64">ROUND($B953*K$876,2)</f>
        <v>-0.04</v>
      </c>
      <c r="L953" s="17">
        <f>IF(ISBLANK($C953),0,IF($C953&lt;$C$877,ROUND($C$877*$L$876,2),IF($C953&gt;L$877,ROUND(L$877*L$876,2),ROUND($C953*L$876,2))))</f>
        <v>50000</v>
      </c>
      <c r="M953" s="17">
        <f>IF($C953&gt;L$877,ROUND(($C953-L$877)*M$876,2),0)</f>
        <v>0</v>
      </c>
      <c r="N953" s="17">
        <f>K953</f>
        <v>-0.04</v>
      </c>
      <c r="O953" s="92"/>
      <c r="P953" s="92"/>
      <c r="Q953" s="17">
        <f>SUM(L953:M953)</f>
        <v>50000</v>
      </c>
      <c r="R953" s="110" t="e">
        <f>ROUND(SUM(K953:M953)*(R952-1),2)</f>
        <v>#N/A</v>
      </c>
      <c r="S953" s="92">
        <f>ROUND($B953*S$876*S952,2)</f>
        <v>0</v>
      </c>
      <c r="T953" s="92">
        <f>ROUND($B953*T$876,2)</f>
        <v>0.01</v>
      </c>
      <c r="U953" s="92">
        <f>ROUND($B953*U$876,2)</f>
        <v>0</v>
      </c>
      <c r="V953" s="32">
        <f>ROUND($B953*$V$874,2)</f>
        <v>0</v>
      </c>
      <c r="W953" s="92">
        <f>ROUND($B953*W$876,2)</f>
        <v>0</v>
      </c>
      <c r="X953" s="92">
        <f>ROUND($B953*X$876,2)</f>
        <v>0</v>
      </c>
      <c r="Y953" s="92">
        <f>ROUND($B953*Y$876,2)</f>
        <v>0</v>
      </c>
      <c r="Z953" s="92">
        <f>ROUND($B953*Z$876,2)</f>
        <v>0</v>
      </c>
      <c r="AA953" s="92">
        <f>ROUND($B953*AA$876,2)</f>
        <v>0</v>
      </c>
      <c r="AB953" s="19">
        <f>SUM(U$876:AA$876)+(-V$876+V939)</f>
        <v>2.3699999999999997E-3</v>
      </c>
      <c r="AC953" s="105" t="str">
        <f t="shared" ref="AC953:AC962" si="65">+F953</f>
        <v>HL23</v>
      </c>
    </row>
    <row r="954" spans="1:29" ht="13" x14ac:dyDescent="0.3">
      <c r="A954" s="9"/>
      <c r="B954" s="103">
        <v>-1</v>
      </c>
      <c r="D954" s="32"/>
      <c r="E954" s="103"/>
      <c r="F954" s="36"/>
      <c r="G954" s="92"/>
      <c r="H954" s="19" t="e">
        <f>IF(ISBLANK(B954),0,+#REF!/B954)</f>
        <v>#REF!</v>
      </c>
      <c r="J954" s="109">
        <f t="shared" si="63"/>
        <v>215</v>
      </c>
      <c r="K954" s="92">
        <f t="shared" si="64"/>
        <v>-0.04</v>
      </c>
      <c r="L954" s="92">
        <f>IF(ISBLANK($E954),0,IF($E954&lt;$C$877,ROUND($C$877*$L$876,2),IF($E954&gt;L$877,ROUND(L$877*L$876,2),ROUND($E954*L$876,2))))</f>
        <v>0</v>
      </c>
      <c r="M954" s="92">
        <f>IF($E954&gt;L$877,ROUND(($E954-L$877)*M$876,2),0)</f>
        <v>0</v>
      </c>
      <c r="N954" s="92"/>
      <c r="O954" s="92"/>
      <c r="P954" s="92"/>
      <c r="Q954" s="92"/>
      <c r="R954" s="16" t="e">
        <f>VLOOKUP((D955),'Pwr Factor'!$A$1:$B$52,2)</f>
        <v>#N/A</v>
      </c>
      <c r="S954" s="50">
        <v>0.25</v>
      </c>
      <c r="T954" s="92"/>
      <c r="U954" s="92"/>
      <c r="V954" s="32"/>
      <c r="W954" s="92"/>
      <c r="X954" s="92"/>
      <c r="Y954" s="92"/>
      <c r="Z954" s="92"/>
      <c r="AA954" s="92"/>
      <c r="AB954" s="19"/>
      <c r="AC954" s="105">
        <f t="shared" si="65"/>
        <v>0</v>
      </c>
    </row>
    <row r="955" spans="1:29" ht="13" x14ac:dyDescent="0.3">
      <c r="A955" s="1" t="s">
        <v>150</v>
      </c>
      <c r="B955" s="103">
        <f>IF(AND('AES Indiana Bill Calc.'!$D$17="HL2",'AES Indiana Bill Calc.'!$D$18="Yes 25%",'AES Indiana Bill Calc.'!$D$20="Yes 2023"),'AES Indiana Bill Calc.'!$D$19,-1)</f>
        <v>-1</v>
      </c>
      <c r="C955" s="103">
        <f>MAX(E955,$C$769)</f>
        <v>2000</v>
      </c>
      <c r="D955" s="103" t="b">
        <f>IF(AND('AES Indiana Bill Calc.'!$D$17="HL2",'AES Indiana Bill Calc.'!$D$18="Yes 25%",'AES Indiana Bill Calc.'!$D$20="Yes 2023"),'AES Indiana Bill Calc.'!$D$22)</f>
        <v>0</v>
      </c>
      <c r="E955" s="103" t="b">
        <f>IF(AND('AES Indiana Bill Calc.'!$D$17="HL2",'AES Indiana Bill Calc.'!$D$18="Yes 25%",'AES Indiana Bill Calc.'!$D$20="Yes 2023"),'AES Indiana Bill Calc.'!$D$21)</f>
        <v>0</v>
      </c>
      <c r="F955" s="36" t="s">
        <v>302</v>
      </c>
      <c r="G955" s="92" t="e">
        <f>SUM(J955:M955,R955:AA955)</f>
        <v>#N/A</v>
      </c>
      <c r="H955" s="19" t="e">
        <f>IF(ISBLANK(B955),0,+#REF!/B955)</f>
        <v>#REF!</v>
      </c>
      <c r="J955" s="109">
        <f t="shared" si="63"/>
        <v>215</v>
      </c>
      <c r="K955" s="92">
        <f t="shared" si="64"/>
        <v>-0.04</v>
      </c>
      <c r="L955" s="17">
        <f>IF(ISBLANK($C955),0,IF($C955&lt;$C$877,ROUND($C$877*$L$876,2),IF($C955&gt;L$877,ROUND(L$877*L$876,2),ROUND($C955*L$876,2))))</f>
        <v>50000</v>
      </c>
      <c r="M955" s="17">
        <f>IF($C955&gt;L$877,ROUND(($C955-L$877)*M$876,2),0)</f>
        <v>0</v>
      </c>
      <c r="N955" s="17">
        <f>K955</f>
        <v>-0.04</v>
      </c>
      <c r="O955" s="92"/>
      <c r="P955" s="92"/>
      <c r="Q955" s="17">
        <f>SUM(L955:M955)</f>
        <v>50000</v>
      </c>
      <c r="R955" s="110" t="e">
        <f>ROUND(SUM(K955:M955)*(R954-1),2)</f>
        <v>#N/A</v>
      </c>
      <c r="S955" s="92">
        <f>ROUND($B955*S$876*S954,2)</f>
        <v>0</v>
      </c>
      <c r="T955" s="92">
        <f>ROUND($B955*T$876,2)</f>
        <v>0.01</v>
      </c>
      <c r="U955" s="92">
        <f>ROUND($B955*U$876,2)</f>
        <v>0</v>
      </c>
      <c r="V955" s="32">
        <f>ROUND($B955*$V$874,2)</f>
        <v>0</v>
      </c>
      <c r="W955" s="92">
        <f>ROUND($B955*W$876,2)</f>
        <v>0</v>
      </c>
      <c r="X955" s="92">
        <f>ROUND($B955*X$876,2)</f>
        <v>0</v>
      </c>
      <c r="Y955" s="92">
        <f>ROUND($B955*Y$876,2)</f>
        <v>0</v>
      </c>
      <c r="Z955" s="92">
        <f>ROUND($B955*Z$876,2)</f>
        <v>0</v>
      </c>
      <c r="AA955" s="92">
        <f>ROUND($B955*AA$876,2)</f>
        <v>0</v>
      </c>
      <c r="AB955" s="19">
        <f>SUM(U$876:AA$876)+(-V$876+V941)</f>
        <v>2.3699999999999997E-3</v>
      </c>
      <c r="AC955" s="105" t="str">
        <f t="shared" si="65"/>
        <v>HL23</v>
      </c>
    </row>
    <row r="956" spans="1:29" ht="13" x14ac:dyDescent="0.3">
      <c r="A956" s="9"/>
      <c r="B956" s="103">
        <v>-1</v>
      </c>
      <c r="D956" s="32"/>
      <c r="E956" s="103"/>
      <c r="F956" s="36"/>
      <c r="G956" s="92"/>
      <c r="H956" s="19" t="e">
        <f>IF(ISBLANK(B956),0,+#REF!/B956)</f>
        <v>#REF!</v>
      </c>
      <c r="J956" s="109">
        <f t="shared" si="63"/>
        <v>215</v>
      </c>
      <c r="K956" s="92">
        <f t="shared" si="64"/>
        <v>-0.04</v>
      </c>
      <c r="L956" s="92">
        <f>IF(ISBLANK($E956),0,IF($E956&lt;$C$877,ROUND($C$877*$L$876,2),IF($E956&gt;L$877,ROUND(L$877*L$876,2),ROUND($E956*L$876,2))))</f>
        <v>0</v>
      </c>
      <c r="M956" s="92">
        <f>IF($E956&gt;L$877,ROUND(($E956-L$877)*M$876,2),0)</f>
        <v>0</v>
      </c>
      <c r="N956" s="92"/>
      <c r="O956" s="92"/>
      <c r="P956" s="92"/>
      <c r="Q956" s="92"/>
      <c r="R956" s="16" t="e">
        <f>VLOOKUP((D957),'Pwr Factor'!$A$1:$B$52,2)</f>
        <v>#N/A</v>
      </c>
      <c r="S956" s="50">
        <v>0.1</v>
      </c>
      <c r="T956" s="92"/>
      <c r="U956" s="92"/>
      <c r="V956" s="32"/>
      <c r="W956" s="92"/>
      <c r="X956" s="92"/>
      <c r="Y956" s="92"/>
      <c r="Z956" s="92"/>
      <c r="AA956" s="92"/>
      <c r="AB956" s="19"/>
      <c r="AC956" s="105">
        <f t="shared" si="65"/>
        <v>0</v>
      </c>
    </row>
    <row r="957" spans="1:29" ht="13" x14ac:dyDescent="0.3">
      <c r="A957" s="1" t="s">
        <v>164</v>
      </c>
      <c r="B957" s="103">
        <f>IF(AND('AES Indiana Bill Calc.'!$D$17="HL2",'AES Indiana Bill Calc.'!$D$18="Yes 10%",'AES Indiana Bill Calc.'!$D$20="Yes 2023"),'AES Indiana Bill Calc.'!$D$19,-1)</f>
        <v>-1</v>
      </c>
      <c r="C957" s="103">
        <f>MAX(E957,$C$769)</f>
        <v>2000</v>
      </c>
      <c r="D957" s="103" t="b">
        <f>IF(AND('AES Indiana Bill Calc.'!$D$17="HL2",'AES Indiana Bill Calc.'!$D$18="Yes 10%",'AES Indiana Bill Calc.'!$D$20="Yes 2023"),'AES Indiana Bill Calc.'!$D$22)</f>
        <v>0</v>
      </c>
      <c r="E957" s="103" t="b">
        <f>IF(AND('AES Indiana Bill Calc.'!$D$17="HL2",'AES Indiana Bill Calc.'!$D$18="Yes 10%",'AES Indiana Bill Calc.'!$D$20="Yes 2023"),'AES Indiana Bill Calc.'!$D$21)</f>
        <v>0</v>
      </c>
      <c r="F957" s="36" t="s">
        <v>302</v>
      </c>
      <c r="G957" s="92" t="e">
        <f>SUM(J957:M957,R957:AA957)</f>
        <v>#N/A</v>
      </c>
      <c r="H957" s="19" t="e">
        <f>IF(ISBLANK(B957),0,+#REF!/B957)</f>
        <v>#REF!</v>
      </c>
      <c r="J957" s="109">
        <f t="shared" si="63"/>
        <v>215</v>
      </c>
      <c r="K957" s="92">
        <f t="shared" si="64"/>
        <v>-0.04</v>
      </c>
      <c r="L957" s="17">
        <f>IF(ISBLANK($C957),0,IF($C957&lt;$C$877,ROUND($C$877*$L$876,2),IF($C957&gt;L$877,ROUND(L$877*L$876,2),ROUND($C957*L$876,2))))</f>
        <v>50000</v>
      </c>
      <c r="M957" s="17">
        <f>IF($C957&gt;L$877,ROUND(($C957-L$877)*M$876,2),0)</f>
        <v>0</v>
      </c>
      <c r="N957" s="17">
        <f>K957</f>
        <v>-0.04</v>
      </c>
      <c r="O957" s="92"/>
      <c r="P957" s="92"/>
      <c r="Q957" s="17">
        <f>SUM(L957:M957)</f>
        <v>50000</v>
      </c>
      <c r="R957" s="110" t="e">
        <f>ROUND(SUM(K957:M957)*(R956-1),2)</f>
        <v>#N/A</v>
      </c>
      <c r="S957" s="92">
        <f>ROUND($B957*S$876*S956,2)</f>
        <v>0</v>
      </c>
      <c r="T957" s="92">
        <f>ROUND($B957*T$876,2)</f>
        <v>0.01</v>
      </c>
      <c r="U957" s="92">
        <f>ROUND($B957*U$876,2)</f>
        <v>0</v>
      </c>
      <c r="V957" s="32">
        <f>ROUND($B957*$V$874,2)</f>
        <v>0</v>
      </c>
      <c r="W957" s="92">
        <f>ROUND($B957*W$876,2)</f>
        <v>0</v>
      </c>
      <c r="X957" s="92">
        <f>ROUND($B957*X$876,2)</f>
        <v>0</v>
      </c>
      <c r="Y957" s="92">
        <f>ROUND($B957*Y$876,2)</f>
        <v>0</v>
      </c>
      <c r="Z957" s="92">
        <f>ROUND($B957*Z$876,2)</f>
        <v>0</v>
      </c>
      <c r="AA957" s="92">
        <f>ROUND($B957*AA$876,2)</f>
        <v>0</v>
      </c>
      <c r="AB957" s="19">
        <f>SUM(U$876:AA$876)+(-V$876+V943)</f>
        <v>2.3699999999999997E-3</v>
      </c>
      <c r="AC957" s="105" t="str">
        <f t="shared" si="65"/>
        <v>HL23</v>
      </c>
    </row>
    <row r="958" spans="1:29" ht="13" x14ac:dyDescent="0.3">
      <c r="A958" s="9"/>
      <c r="B958" s="103">
        <v>-1</v>
      </c>
      <c r="D958" s="32"/>
      <c r="E958" s="103"/>
      <c r="F958" s="36"/>
      <c r="G958" s="92"/>
      <c r="H958" s="19" t="e">
        <f>IF(ISBLANK(B958),0,+#REF!/B958)</f>
        <v>#REF!</v>
      </c>
      <c r="J958" s="109">
        <f t="shared" si="63"/>
        <v>215</v>
      </c>
      <c r="K958" s="92">
        <f t="shared" si="64"/>
        <v>-0.04</v>
      </c>
      <c r="L958" s="92">
        <f>IF(ISBLANK($E958),0,IF($E958&lt;$C$877,ROUND($C$877*$L$876,2),IF($E958&gt;L$877,ROUND(L$877*L$876,2),ROUND($E958*L$876,2))))</f>
        <v>0</v>
      </c>
      <c r="M958" s="92">
        <f>IF($E958&gt;L$877,ROUND(($E958-L$877)*M$876,2),0)</f>
        <v>0</v>
      </c>
      <c r="N958" s="92"/>
      <c r="O958" s="92"/>
      <c r="P958" s="92"/>
      <c r="Q958" s="92"/>
      <c r="R958" s="16" t="e">
        <f>VLOOKUP((D959),'Pwr Factor'!$A$1:$B$52,2)</f>
        <v>#N/A</v>
      </c>
      <c r="S958" s="50">
        <v>0</v>
      </c>
      <c r="T958" s="92"/>
      <c r="U958" s="92"/>
      <c r="V958" s="32"/>
      <c r="W958" s="92"/>
      <c r="X958" s="92"/>
      <c r="Y958" s="92"/>
      <c r="Z958" s="92"/>
      <c r="AA958" s="92"/>
      <c r="AB958" s="19"/>
      <c r="AC958" s="105">
        <f t="shared" si="65"/>
        <v>0</v>
      </c>
    </row>
    <row r="959" spans="1:29" ht="13" x14ac:dyDescent="0.3">
      <c r="A959" s="1" t="s">
        <v>147</v>
      </c>
      <c r="B959" s="103">
        <f>IF(AND('AES Indiana Bill Calc.'!$D$17="HL2",'AES Indiana Bill Calc.'!$D$18="No",'AES Indiana Bill Calc.'!$D$20="Yes 2023"),'AES Indiana Bill Calc.'!$D$19,-1)</f>
        <v>-1</v>
      </c>
      <c r="C959" s="103">
        <f>MAX(E959,$C$769)</f>
        <v>2000</v>
      </c>
      <c r="D959" s="103" t="b">
        <f>IF(AND('AES Indiana Bill Calc.'!$D$17="HL2",'AES Indiana Bill Calc.'!$D$18="No",'AES Indiana Bill Calc.'!$D$20="Yes 2023"),'AES Indiana Bill Calc.'!$D$22)</f>
        <v>0</v>
      </c>
      <c r="E959" s="103" t="b">
        <f>IF(AND('AES Indiana Bill Calc.'!$D$17="HL2",'AES Indiana Bill Calc.'!$D$18="No",'AES Indiana Bill Calc.'!$D$20="Yes 2023"),'AES Indiana Bill Calc.'!$D$21)</f>
        <v>0</v>
      </c>
      <c r="F959" s="36" t="s">
        <v>302</v>
      </c>
      <c r="G959" s="92" t="e">
        <f>SUM(J959:M959,R959:AA959)</f>
        <v>#N/A</v>
      </c>
      <c r="H959" s="19" t="e">
        <f>IF(ISBLANK(B959),0,+#REF!/B959)</f>
        <v>#REF!</v>
      </c>
      <c r="J959" s="109">
        <f t="shared" si="63"/>
        <v>215</v>
      </c>
      <c r="K959" s="92">
        <f t="shared" si="64"/>
        <v>-0.04</v>
      </c>
      <c r="L959" s="17">
        <f>IF(ISBLANK($C959),0,IF($C959&lt;$C$877,ROUND($C$877*$L$876,2),IF($C959&gt;L$877,ROUND(L$877*L$876,2),ROUND($C959*L$876,2))))</f>
        <v>50000</v>
      </c>
      <c r="M959" s="17">
        <f>IF($C959&gt;L$877,ROUND(($C959-L$877)*M$876,2),0)</f>
        <v>0</v>
      </c>
      <c r="N959" s="17">
        <f>K959</f>
        <v>-0.04</v>
      </c>
      <c r="O959" s="92"/>
      <c r="P959" s="92"/>
      <c r="Q959" s="17">
        <f>SUM(L959:M959)</f>
        <v>50000</v>
      </c>
      <c r="R959" s="110" t="e">
        <f>ROUND(SUM(K959:M959)*(R958-1),2)</f>
        <v>#N/A</v>
      </c>
      <c r="S959" s="92">
        <f>ROUND($B959*S$876*S958,2)</f>
        <v>0</v>
      </c>
      <c r="T959" s="92">
        <f>ROUND($B959*T$876,2)</f>
        <v>0.01</v>
      </c>
      <c r="U959" s="92">
        <f>ROUND($B959*U$876,2)</f>
        <v>0</v>
      </c>
      <c r="V959" s="32">
        <f>ROUND($B959*$V$874,2)</f>
        <v>0</v>
      </c>
      <c r="W959" s="92">
        <f>ROUND($B959*W$876,2)</f>
        <v>0</v>
      </c>
      <c r="X959" s="92">
        <f>ROUND($B959*X$876,2)</f>
        <v>0</v>
      </c>
      <c r="Y959" s="92">
        <f>ROUND($B959*Y$876,2)</f>
        <v>0</v>
      </c>
      <c r="Z959" s="92">
        <f>ROUND($B959*Z$876,2)</f>
        <v>0</v>
      </c>
      <c r="AA959" s="92">
        <f>ROUND($B959*AA$876,2)</f>
        <v>0</v>
      </c>
      <c r="AB959" s="19">
        <f>SUM(U$876:AA$876)+(-V$876+V945)</f>
        <v>2.3699999999999997E-3</v>
      </c>
      <c r="AC959" s="105" t="str">
        <f t="shared" si="65"/>
        <v>HL23</v>
      </c>
    </row>
    <row r="960" spans="1:29" ht="13" x14ac:dyDescent="0.3">
      <c r="B960" s="103">
        <v>-1</v>
      </c>
      <c r="D960" s="32"/>
      <c r="E960" s="103"/>
      <c r="F960" s="36"/>
      <c r="G960" s="92"/>
      <c r="H960" s="19" t="e">
        <f>IF(ISBLANK(B960),0,+#REF!/B960)</f>
        <v>#REF!</v>
      </c>
      <c r="J960" s="109">
        <f t="shared" si="63"/>
        <v>215</v>
      </c>
      <c r="K960" s="92">
        <f t="shared" si="64"/>
        <v>-0.04</v>
      </c>
      <c r="L960" s="92">
        <f>IF(ISBLANK($E960),0,IF($E960&lt;$C$877,ROUND($C$877*$L$876,2),IF($E960&gt;L$877,ROUND(L$877*L$876,2),ROUND($E960*L$876,2))))</f>
        <v>0</v>
      </c>
      <c r="M960" s="92">
        <f>IF($E960&gt;L$877,ROUND(($E960-L$877)*M$876,2),0)</f>
        <v>0</v>
      </c>
      <c r="N960" s="92"/>
      <c r="O960" s="92"/>
      <c r="P960" s="92"/>
      <c r="Q960" s="92"/>
      <c r="R960" s="16" t="e">
        <f>VLOOKUP((D961),'Pwr Factor'!$A$1:$B$52,2)</f>
        <v>#N/A</v>
      </c>
      <c r="S960" s="50">
        <v>1</v>
      </c>
      <c r="T960" s="92"/>
      <c r="U960" s="92"/>
      <c r="V960" s="32"/>
      <c r="W960" s="92"/>
      <c r="X960" s="92"/>
      <c r="Y960" s="92"/>
      <c r="Z960" s="92"/>
      <c r="AA960" s="92"/>
      <c r="AB960" s="19"/>
      <c r="AC960" s="105">
        <f t="shared" si="65"/>
        <v>0</v>
      </c>
    </row>
    <row r="961" spans="1:29" ht="13" x14ac:dyDescent="0.3">
      <c r="A961" s="1" t="s">
        <v>148</v>
      </c>
      <c r="B961" s="103">
        <f>IF(AND('AES Indiana Bill Calc.'!$D$17="HL2",'AES Indiana Bill Calc.'!$D$18="Yes 100%",'AES Indiana Bill Calc.'!$D$20="Yes 2024"),'AES Indiana Bill Calc.'!$D$19,-1)</f>
        <v>-1</v>
      </c>
      <c r="C961" s="103">
        <f>MAX(E961,$C$769)</f>
        <v>2000</v>
      </c>
      <c r="D961" s="103" t="b">
        <f>IF(AND('AES Indiana Bill Calc.'!$D$17="HL2",'AES Indiana Bill Calc.'!$D$18="Yes 100%",'AES Indiana Bill Calc.'!$D$20="Yes 2024"),'AES Indiana Bill Calc.'!$D$22)</f>
        <v>0</v>
      </c>
      <c r="E961" s="103" t="b">
        <f>IF(AND('AES Indiana Bill Calc.'!$D$17="HL2",'AES Indiana Bill Calc.'!$D$18="Yes 100%",'AES Indiana Bill Calc.'!$D$20="Yes 2024"),'AES Indiana Bill Calc.'!$D$21)</f>
        <v>0</v>
      </c>
      <c r="F961" s="36" t="s">
        <v>303</v>
      </c>
      <c r="G961" s="92" t="e">
        <f>SUM(J961:M961,R961:AA961)</f>
        <v>#N/A</v>
      </c>
      <c r="H961" s="19" t="e">
        <f>IF(ISBLANK(B961),0,+#REF!/B961)</f>
        <v>#REF!</v>
      </c>
      <c r="J961" s="109">
        <f t="shared" si="63"/>
        <v>215</v>
      </c>
      <c r="K961" s="92">
        <f t="shared" si="64"/>
        <v>-0.04</v>
      </c>
      <c r="L961" s="17">
        <f>IF(ISBLANK($C961),0,IF($C961&lt;$C$877,ROUND($C$877*$L$876,2),IF($C961&gt;L$877,ROUND(L$877*L$876,2),ROUND($C961*L$876,2))))</f>
        <v>50000</v>
      </c>
      <c r="M961" s="17">
        <f>IF($C961&gt;L$877,ROUND(($C961-L$877)*M$876,2),0)</f>
        <v>0</v>
      </c>
      <c r="N961" s="17">
        <f>K961</f>
        <v>-0.04</v>
      </c>
      <c r="O961" s="92"/>
      <c r="P961" s="92"/>
      <c r="Q961" s="17">
        <f>SUM(L961:M961)</f>
        <v>50000</v>
      </c>
      <c r="R961" s="110" t="e">
        <f>ROUND(SUM(K961:M961)*(R960-1),2)</f>
        <v>#N/A</v>
      </c>
      <c r="S961" s="92">
        <f>ROUND($B961*S$876*S960,2)</f>
        <v>0</v>
      </c>
      <c r="T961" s="92">
        <f>ROUND($B961*T$876,2)</f>
        <v>0.01</v>
      </c>
      <c r="U961" s="92">
        <f>ROUND($B961*U$876,2)</f>
        <v>0</v>
      </c>
      <c r="V961" s="32">
        <f>ROUND($B961*$V$875,2)</f>
        <v>0</v>
      </c>
      <c r="W961" s="92">
        <f>ROUND($B961*W$876,2)</f>
        <v>0</v>
      </c>
      <c r="X961" s="92">
        <f>ROUND($B961*X$876,2)</f>
        <v>0</v>
      </c>
      <c r="Y961" s="92">
        <f>ROUND($B961*Y$876,2)</f>
        <v>0</v>
      </c>
      <c r="Z961" s="92">
        <f>ROUND($B961*Z$876,2)</f>
        <v>0</v>
      </c>
      <c r="AA961" s="92">
        <f>ROUND($B961*AA$876,2)</f>
        <v>0</v>
      </c>
      <c r="AB961" s="19">
        <f>SUM(U$876:AA$876)+(-V$876+V947)</f>
        <v>2.3699999999999997E-3</v>
      </c>
      <c r="AC961" s="105" t="str">
        <f t="shared" si="65"/>
        <v>HL24</v>
      </c>
    </row>
    <row r="962" spans="1:29" ht="13" x14ac:dyDescent="0.3">
      <c r="A962" s="9"/>
      <c r="B962" s="103">
        <v>-1</v>
      </c>
      <c r="D962" s="32"/>
      <c r="E962" s="103"/>
      <c r="F962" s="36"/>
      <c r="G962" s="92"/>
      <c r="H962" s="19" t="e">
        <f>IF(ISBLANK(B962),0,+#REF!/B962)</f>
        <v>#REF!</v>
      </c>
      <c r="J962" s="109">
        <f t="shared" si="63"/>
        <v>215</v>
      </c>
      <c r="K962" s="92">
        <f t="shared" si="64"/>
        <v>-0.04</v>
      </c>
      <c r="L962" s="92">
        <f>IF(ISBLANK($E962),0,IF($E962&lt;$C$877,ROUND($C$877*$L$876,2),IF($E962&gt;L$877,ROUND(L$877*L$876,2),ROUND($E962*L$876,2))))</f>
        <v>0</v>
      </c>
      <c r="M962" s="92">
        <f>IF($E962&gt;L$877,ROUND(($E962-L$877)*M$876,2),0)</f>
        <v>0</v>
      </c>
      <c r="N962" s="92"/>
      <c r="O962" s="92"/>
      <c r="P962" s="92"/>
      <c r="Q962" s="92"/>
      <c r="R962" s="16" t="e">
        <f>VLOOKUP((D963),'Pwr Factor'!$A$1:$B$52,2)</f>
        <v>#N/A</v>
      </c>
      <c r="S962" s="50">
        <v>0.5</v>
      </c>
      <c r="T962" s="92"/>
      <c r="U962" s="92"/>
      <c r="V962" s="32"/>
      <c r="W962" s="92"/>
      <c r="X962" s="92"/>
      <c r="Y962" s="92"/>
      <c r="Z962" s="92"/>
      <c r="AA962" s="92"/>
      <c r="AB962" s="19"/>
      <c r="AC962" s="105">
        <f t="shared" si="65"/>
        <v>0</v>
      </c>
    </row>
    <row r="963" spans="1:29" ht="13" x14ac:dyDescent="0.3">
      <c r="A963" s="1" t="s">
        <v>149</v>
      </c>
      <c r="B963" s="103">
        <f>IF(AND('AES Indiana Bill Calc.'!$D$17="HL2",'AES Indiana Bill Calc.'!$D$18="Yes 50%",'AES Indiana Bill Calc.'!$D$20="Yes 2024"),'AES Indiana Bill Calc.'!$D$19,-1)</f>
        <v>-1</v>
      </c>
      <c r="C963" s="103">
        <f>MAX(E963,$C$769)</f>
        <v>2000</v>
      </c>
      <c r="D963" s="103" t="b">
        <f>IF(AND('AES Indiana Bill Calc.'!$D$17="HL2",'AES Indiana Bill Calc.'!$D$18="Yes 50%",'AES Indiana Bill Calc.'!$D$20="Yes 2024"),'AES Indiana Bill Calc.'!$D$22)</f>
        <v>0</v>
      </c>
      <c r="E963" s="103" t="b">
        <f>IF(AND('AES Indiana Bill Calc.'!$D$17="HL2",'AES Indiana Bill Calc.'!$D$18="Yes 50%",'AES Indiana Bill Calc.'!$D$20="Yes 2024"),'AES Indiana Bill Calc.'!$D$21)</f>
        <v>0</v>
      </c>
      <c r="F963" s="36" t="s">
        <v>303</v>
      </c>
      <c r="G963" s="92" t="e">
        <f>SUM(J963:M963,R963:AA963)</f>
        <v>#N/A</v>
      </c>
      <c r="H963" s="19" t="e">
        <f>IF(ISBLANK(B963),0,+#REF!/B963)</f>
        <v>#REF!</v>
      </c>
      <c r="J963" s="109">
        <f t="shared" ref="J963:J969" si="66">IF(ISBLANK(B963),0,+J$876)</f>
        <v>215</v>
      </c>
      <c r="K963" s="92">
        <f t="shared" si="64"/>
        <v>-0.04</v>
      </c>
      <c r="L963" s="17">
        <f>IF(ISBLANK($C963),0,IF($C963&lt;$C$877,ROUND($C$877*$L$876,2),IF($C963&gt;L$877,ROUND(L$877*L$876,2),ROUND($C963*L$876,2))))</f>
        <v>50000</v>
      </c>
      <c r="M963" s="17">
        <f>IF($C963&gt;L$877,ROUND(($C963-L$877)*M$876,2),0)</f>
        <v>0</v>
      </c>
      <c r="N963" s="17">
        <f>K963</f>
        <v>-0.04</v>
      </c>
      <c r="O963" s="92"/>
      <c r="P963" s="92"/>
      <c r="Q963" s="17">
        <f>SUM(L963:M963)</f>
        <v>50000</v>
      </c>
      <c r="R963" s="110" t="e">
        <f>ROUND(SUM(K963:M963)*(R962-1),2)</f>
        <v>#N/A</v>
      </c>
      <c r="S963" s="92">
        <f>ROUND($B963*S$876*S962,2)</f>
        <v>0</v>
      </c>
      <c r="T963" s="92">
        <f>ROUND($B963*T$876,2)</f>
        <v>0.01</v>
      </c>
      <c r="U963" s="92">
        <f>ROUND($B963*U$876,2)</f>
        <v>0</v>
      </c>
      <c r="V963" s="32">
        <f>ROUND($B963*$V$875,2)</f>
        <v>0</v>
      </c>
      <c r="W963" s="92">
        <f>ROUND($B963*W$876,2)</f>
        <v>0</v>
      </c>
      <c r="X963" s="92">
        <f>ROUND($B963*X$876,2)</f>
        <v>0</v>
      </c>
      <c r="Y963" s="92">
        <f>ROUND($B963*Y$876,2)</f>
        <v>0</v>
      </c>
      <c r="Z963" s="92">
        <f>ROUND($B963*Z$876,2)</f>
        <v>0</v>
      </c>
      <c r="AA963" s="92">
        <f>ROUND($B963*AA$876,2)</f>
        <v>0</v>
      </c>
      <c r="AB963" s="19">
        <f>SUM(U$876:AA$876)+(-V$876+V949)</f>
        <v>2.3699999999999997E-3</v>
      </c>
      <c r="AC963" s="105" t="str">
        <f t="shared" ref="AC963:AC969" si="67">+F963</f>
        <v>HL24</v>
      </c>
    </row>
    <row r="964" spans="1:29" ht="13" x14ac:dyDescent="0.3">
      <c r="A964" s="9"/>
      <c r="B964" s="103">
        <v>-1</v>
      </c>
      <c r="D964" s="32"/>
      <c r="E964" s="103"/>
      <c r="F964" s="36"/>
      <c r="G964" s="92"/>
      <c r="H964" s="19" t="e">
        <f>IF(ISBLANK(B964),0,+#REF!/B964)</f>
        <v>#REF!</v>
      </c>
      <c r="J964" s="109">
        <f t="shared" si="66"/>
        <v>215</v>
      </c>
      <c r="K964" s="92">
        <f t="shared" si="64"/>
        <v>-0.04</v>
      </c>
      <c r="L964" s="92">
        <f>IF(ISBLANK($E964),0,IF($E964&lt;$C$877,ROUND($C$877*$L$876,2),IF($E964&gt;L$877,ROUND(L$877*L$876,2),ROUND($E964*L$876,2))))</f>
        <v>0</v>
      </c>
      <c r="M964" s="92">
        <f>IF($E964&gt;L$877,ROUND(($E964-L$877)*M$876,2),0)</f>
        <v>0</v>
      </c>
      <c r="N964" s="92"/>
      <c r="O964" s="92"/>
      <c r="P964" s="92"/>
      <c r="Q964" s="92"/>
      <c r="R964" s="16" t="e">
        <f>VLOOKUP((D965),'Pwr Factor'!$A$1:$B$52,2)</f>
        <v>#N/A</v>
      </c>
      <c r="S964" s="50">
        <v>0.25</v>
      </c>
      <c r="T964" s="92"/>
      <c r="U964" s="92"/>
      <c r="V964" s="32"/>
      <c r="W964" s="92"/>
      <c r="X964" s="92"/>
      <c r="Y964" s="92"/>
      <c r="Z964" s="92"/>
      <c r="AA964" s="92"/>
      <c r="AB964" s="19"/>
      <c r="AC964" s="105">
        <f t="shared" si="67"/>
        <v>0</v>
      </c>
    </row>
    <row r="965" spans="1:29" ht="13" x14ac:dyDescent="0.3">
      <c r="A965" s="1" t="s">
        <v>150</v>
      </c>
      <c r="B965" s="103">
        <f>IF(AND('AES Indiana Bill Calc.'!$D$17="HL2",'AES Indiana Bill Calc.'!$D$18="Yes 25%",'AES Indiana Bill Calc.'!$D$20="Yes 2024"),'AES Indiana Bill Calc.'!$D$19,-1)</f>
        <v>-1</v>
      </c>
      <c r="C965" s="103">
        <f>MAX(E965,$C$769)</f>
        <v>2000</v>
      </c>
      <c r="D965" s="103" t="b">
        <f>IF(AND('AES Indiana Bill Calc.'!$D$17="HL2",'AES Indiana Bill Calc.'!$D$18="Yes 25%",'AES Indiana Bill Calc.'!$D$20="Yes 2024"),'AES Indiana Bill Calc.'!$D$22)</f>
        <v>0</v>
      </c>
      <c r="E965" s="103" t="b">
        <f>IF(AND('AES Indiana Bill Calc.'!$D$17="HL2",'AES Indiana Bill Calc.'!$D$18="Yes 25%",'AES Indiana Bill Calc.'!$D$20="Yes 2024"),'AES Indiana Bill Calc.'!$D$21)</f>
        <v>0</v>
      </c>
      <c r="F965" s="36" t="s">
        <v>303</v>
      </c>
      <c r="G965" s="92" t="e">
        <f>SUM(J965:M965,R965:AA965)</f>
        <v>#N/A</v>
      </c>
      <c r="H965" s="19" t="e">
        <f>IF(ISBLANK(B965),0,+#REF!/B965)</f>
        <v>#REF!</v>
      </c>
      <c r="J965" s="109">
        <f t="shared" si="66"/>
        <v>215</v>
      </c>
      <c r="K965" s="92">
        <f t="shared" si="64"/>
        <v>-0.04</v>
      </c>
      <c r="L965" s="17">
        <f>IF(ISBLANK($C965),0,IF($C965&lt;$C$877,ROUND($C$877*$L$876,2),IF($C965&gt;L$877,ROUND(L$877*L$876,2),ROUND($C965*L$876,2))))</f>
        <v>50000</v>
      </c>
      <c r="M965" s="17">
        <f>IF($C965&gt;L$877,ROUND(($C965-L$877)*M$876,2),0)</f>
        <v>0</v>
      </c>
      <c r="N965" s="17">
        <f>K965</f>
        <v>-0.04</v>
      </c>
      <c r="O965" s="92"/>
      <c r="P965" s="92"/>
      <c r="Q965" s="17">
        <f>SUM(L965:M965)</f>
        <v>50000</v>
      </c>
      <c r="R965" s="110" t="e">
        <f>ROUND(SUM(K965:M965)*(R964-1),2)</f>
        <v>#N/A</v>
      </c>
      <c r="S965" s="92">
        <f>ROUND($B965*S$876*S964,2)</f>
        <v>0</v>
      </c>
      <c r="T965" s="92">
        <f>ROUND($B965*T$876,2)</f>
        <v>0.01</v>
      </c>
      <c r="U965" s="92">
        <f>ROUND($B965*U$876,2)</f>
        <v>0</v>
      </c>
      <c r="V965" s="32">
        <f>ROUND($B965*$V$875,2)</f>
        <v>0</v>
      </c>
      <c r="W965" s="92">
        <f>ROUND($B965*W$876,2)</f>
        <v>0</v>
      </c>
      <c r="X965" s="92">
        <f>ROUND($B965*X$876,2)</f>
        <v>0</v>
      </c>
      <c r="Y965" s="92">
        <f>ROUND($B965*Y$876,2)</f>
        <v>0</v>
      </c>
      <c r="Z965" s="92">
        <f>ROUND($B965*Z$876,2)</f>
        <v>0</v>
      </c>
      <c r="AA965" s="92">
        <f>ROUND($B965*AA$876,2)</f>
        <v>0</v>
      </c>
      <c r="AB965" s="19">
        <f>SUM(U$876:AA$876)+(-V$876+V951)</f>
        <v>2.3699999999999997E-3</v>
      </c>
      <c r="AC965" s="105" t="str">
        <f t="shared" si="67"/>
        <v>HL24</v>
      </c>
    </row>
    <row r="966" spans="1:29" ht="13" x14ac:dyDescent="0.3">
      <c r="A966" s="9"/>
      <c r="B966" s="103">
        <v>-1</v>
      </c>
      <c r="D966" s="32"/>
      <c r="E966" s="103"/>
      <c r="F966" s="36"/>
      <c r="G966" s="92"/>
      <c r="H966" s="19" t="e">
        <f>IF(ISBLANK(B966),0,+#REF!/B966)</f>
        <v>#REF!</v>
      </c>
      <c r="J966" s="109">
        <f t="shared" si="66"/>
        <v>215</v>
      </c>
      <c r="K966" s="92">
        <f t="shared" si="64"/>
        <v>-0.04</v>
      </c>
      <c r="L966" s="92">
        <f>IF(ISBLANK($E966),0,IF($E966&lt;$C$877,ROUND($C$877*$L$876,2),IF($E966&gt;L$877,ROUND(L$877*L$876,2),ROUND($E966*L$876,2))))</f>
        <v>0</v>
      </c>
      <c r="M966" s="92">
        <f>IF($E966&gt;L$877,ROUND(($E966-L$877)*M$876,2),0)</f>
        <v>0</v>
      </c>
      <c r="N966" s="92"/>
      <c r="O966" s="92"/>
      <c r="P966" s="92"/>
      <c r="Q966" s="92"/>
      <c r="R966" s="16" t="e">
        <f>VLOOKUP((D967),'Pwr Factor'!$A$1:$B$52,2)</f>
        <v>#N/A</v>
      </c>
      <c r="S966" s="50">
        <v>0.1</v>
      </c>
      <c r="T966" s="92"/>
      <c r="U966" s="92"/>
      <c r="V966" s="32"/>
      <c r="W966" s="92"/>
      <c r="X966" s="92"/>
      <c r="Y966" s="92"/>
      <c r="Z966" s="92"/>
      <c r="AA966" s="92"/>
      <c r="AB966" s="19"/>
      <c r="AC966" s="105">
        <f t="shared" si="67"/>
        <v>0</v>
      </c>
    </row>
    <row r="967" spans="1:29" ht="13" x14ac:dyDescent="0.3">
      <c r="A967" s="1" t="s">
        <v>164</v>
      </c>
      <c r="B967" s="103">
        <f>IF(AND('AES Indiana Bill Calc.'!$D$17="HL2",'AES Indiana Bill Calc.'!$D$18="Yes 10%",'AES Indiana Bill Calc.'!$D$20="Yes 2024"),'AES Indiana Bill Calc.'!$D$19,-1)</f>
        <v>-1</v>
      </c>
      <c r="C967" s="103">
        <f>MAX(E967,$C$769)</f>
        <v>2000</v>
      </c>
      <c r="D967" s="103" t="b">
        <f>IF(AND('AES Indiana Bill Calc.'!$D$17="HL2",'AES Indiana Bill Calc.'!$D$18="Yes 10%",'AES Indiana Bill Calc.'!$D$20="Yes 2024"),'AES Indiana Bill Calc.'!$D$22)</f>
        <v>0</v>
      </c>
      <c r="E967" s="103" t="b">
        <f>IF(AND('AES Indiana Bill Calc.'!$D$17="HL2",'AES Indiana Bill Calc.'!$D$18="Yes 10%",'AES Indiana Bill Calc.'!$D$20="Yes 2024"),'AES Indiana Bill Calc.'!$D$21)</f>
        <v>0</v>
      </c>
      <c r="F967" s="36" t="s">
        <v>303</v>
      </c>
      <c r="G967" s="92" t="e">
        <f>SUM(J967:M967,R967:AA967)</f>
        <v>#N/A</v>
      </c>
      <c r="H967" s="19" t="e">
        <f>IF(ISBLANK(B967),0,+#REF!/B967)</f>
        <v>#REF!</v>
      </c>
      <c r="J967" s="109">
        <f t="shared" si="66"/>
        <v>215</v>
      </c>
      <c r="K967" s="92">
        <f t="shared" si="64"/>
        <v>-0.04</v>
      </c>
      <c r="L967" s="17">
        <f>IF(ISBLANK($C967),0,IF($C967&lt;$C$877,ROUND($C$877*$L$876,2),IF($C967&gt;L$877,ROUND(L$877*L$876,2),ROUND($C967*L$876,2))))</f>
        <v>50000</v>
      </c>
      <c r="M967" s="17">
        <f>IF($C967&gt;L$877,ROUND(($C967-L$877)*M$876,2),0)</f>
        <v>0</v>
      </c>
      <c r="N967" s="17">
        <f>K967</f>
        <v>-0.04</v>
      </c>
      <c r="O967" s="92"/>
      <c r="P967" s="92"/>
      <c r="Q967" s="17">
        <f>SUM(L967:M967)</f>
        <v>50000</v>
      </c>
      <c r="R967" s="110" t="e">
        <f>ROUND(SUM(K967:M967)*(R966-1),2)</f>
        <v>#N/A</v>
      </c>
      <c r="S967" s="92">
        <f>ROUND($B967*S$876*S966,2)</f>
        <v>0</v>
      </c>
      <c r="T967" s="92">
        <f>ROUND($B967*T$876,2)</f>
        <v>0.01</v>
      </c>
      <c r="U967" s="92">
        <f>ROUND($B967*U$876,2)</f>
        <v>0</v>
      </c>
      <c r="V967" s="32">
        <f>ROUND($B967*$V$875,2)</f>
        <v>0</v>
      </c>
      <c r="W967" s="92">
        <f>ROUND($B967*W$876,2)</f>
        <v>0</v>
      </c>
      <c r="X967" s="92">
        <f>ROUND($B967*X$876,2)</f>
        <v>0</v>
      </c>
      <c r="Y967" s="92">
        <f>ROUND($B967*Y$876,2)</f>
        <v>0</v>
      </c>
      <c r="Z967" s="92">
        <f>ROUND($B967*Z$876,2)</f>
        <v>0</v>
      </c>
      <c r="AA967" s="92">
        <f>ROUND($B967*AA$876,2)</f>
        <v>0</v>
      </c>
      <c r="AB967" s="19">
        <f>SUM(U$876:AA$876)+(-V$876+V953)</f>
        <v>2.3699999999999997E-3</v>
      </c>
      <c r="AC967" s="105" t="str">
        <f t="shared" si="67"/>
        <v>HL24</v>
      </c>
    </row>
    <row r="968" spans="1:29" ht="13" x14ac:dyDescent="0.3">
      <c r="A968" s="9"/>
      <c r="B968" s="103">
        <v>-1</v>
      </c>
      <c r="D968" s="32"/>
      <c r="E968" s="103"/>
      <c r="F968" s="36"/>
      <c r="G968" s="92"/>
      <c r="H968" s="19" t="e">
        <f>IF(ISBLANK(B968),0,+#REF!/B968)</f>
        <v>#REF!</v>
      </c>
      <c r="J968" s="109">
        <f t="shared" si="66"/>
        <v>215</v>
      </c>
      <c r="K968" s="92">
        <f t="shared" si="64"/>
        <v>-0.04</v>
      </c>
      <c r="L968" s="92">
        <f>IF(ISBLANK($E968),0,IF($E968&lt;$C$877,ROUND($C$877*$L$876,2),IF($E968&gt;L$877,ROUND(L$877*L$876,2),ROUND($E968*L$876,2))))</f>
        <v>0</v>
      </c>
      <c r="M968" s="92">
        <f>IF($E968&gt;L$877,ROUND(($E968-L$877)*M$876,2),0)</f>
        <v>0</v>
      </c>
      <c r="N968" s="92"/>
      <c r="O968" s="92"/>
      <c r="P968" s="92"/>
      <c r="Q968" s="92"/>
      <c r="R968" s="16" t="e">
        <f>VLOOKUP((D969),'Pwr Factor'!$A$1:$B$52,2)</f>
        <v>#N/A</v>
      </c>
      <c r="S968" s="50">
        <v>0</v>
      </c>
      <c r="T968" s="92"/>
      <c r="U968" s="92"/>
      <c r="V968" s="32"/>
      <c r="W968" s="92"/>
      <c r="X968" s="92"/>
      <c r="Y968" s="92"/>
      <c r="Z968" s="92"/>
      <c r="AA968" s="92"/>
      <c r="AB968" s="19"/>
      <c r="AC968" s="105">
        <f t="shared" si="67"/>
        <v>0</v>
      </c>
    </row>
    <row r="969" spans="1:29" ht="13" x14ac:dyDescent="0.3">
      <c r="A969" s="1" t="s">
        <v>147</v>
      </c>
      <c r="B969" s="103">
        <f>IF(AND('AES Indiana Bill Calc.'!$D$17="HL2",'AES Indiana Bill Calc.'!$D$18="No",'AES Indiana Bill Calc.'!$D$20="Yes 2024"),'AES Indiana Bill Calc.'!$D$19,-1)</f>
        <v>-1</v>
      </c>
      <c r="C969" s="103">
        <f>MAX(E969,$C$769)</f>
        <v>2000</v>
      </c>
      <c r="D969" s="103" t="b">
        <f>IF(AND('AES Indiana Bill Calc.'!$D$17="HL2",'AES Indiana Bill Calc.'!$D$18="No",'AES Indiana Bill Calc.'!$D$20="Yes 2024"),'AES Indiana Bill Calc.'!$D$22)</f>
        <v>0</v>
      </c>
      <c r="E969" s="103" t="b">
        <f>IF(AND('AES Indiana Bill Calc.'!$D$17="HL2",'AES Indiana Bill Calc.'!$D$18="No",'AES Indiana Bill Calc.'!$D$20="Yes 2024"),'AES Indiana Bill Calc.'!$D$21)</f>
        <v>0</v>
      </c>
      <c r="F969" s="36" t="s">
        <v>303</v>
      </c>
      <c r="G969" s="92" t="e">
        <f>SUM(J969:M969,R969:AA969)</f>
        <v>#N/A</v>
      </c>
      <c r="H969" s="19" t="e">
        <f>IF(ISBLANK(B969),0,+#REF!/B969)</f>
        <v>#REF!</v>
      </c>
      <c r="J969" s="109">
        <f t="shared" si="66"/>
        <v>215</v>
      </c>
      <c r="K969" s="92">
        <f t="shared" si="64"/>
        <v>-0.04</v>
      </c>
      <c r="L969" s="17">
        <f>IF(ISBLANK($C969),0,IF($C969&lt;$C$877,ROUND($C$877*$L$876,2),IF($C969&gt;L$877,ROUND(L$877*L$876,2),ROUND($C969*L$876,2))))</f>
        <v>50000</v>
      </c>
      <c r="M969" s="17">
        <f>IF($C969&gt;L$877,ROUND(($C969-L$877)*M$876,2),0)</f>
        <v>0</v>
      </c>
      <c r="N969" s="17">
        <f>K969</f>
        <v>-0.04</v>
      </c>
      <c r="O969" s="92"/>
      <c r="P969" s="92"/>
      <c r="Q969" s="17">
        <f>SUM(L969:M969)</f>
        <v>50000</v>
      </c>
      <c r="R969" s="110" t="e">
        <f>ROUND(SUM(K969:M969)*(R968-1),2)</f>
        <v>#N/A</v>
      </c>
      <c r="S969" s="92">
        <f>ROUND($B969*S$876*S968,2)</f>
        <v>0</v>
      </c>
      <c r="T969" s="92">
        <f>ROUND($B969*T$876,2)</f>
        <v>0.01</v>
      </c>
      <c r="U969" s="92">
        <f>ROUND($B969*U$876,2)</f>
        <v>0</v>
      </c>
      <c r="V969" s="32">
        <f>ROUND($B969*$V$875,2)</f>
        <v>0</v>
      </c>
      <c r="W969" s="92">
        <f>ROUND($B969*W$876,2)</f>
        <v>0</v>
      </c>
      <c r="X969" s="92">
        <f>ROUND($B969*X$876,2)</f>
        <v>0</v>
      </c>
      <c r="Y969" s="92">
        <f>ROUND($B969*Y$876,2)</f>
        <v>0</v>
      </c>
      <c r="Z969" s="92">
        <f>ROUND($B969*Z$876,2)</f>
        <v>0</v>
      </c>
      <c r="AA969" s="92">
        <f>ROUND($B969*AA$876,2)</f>
        <v>0</v>
      </c>
      <c r="AB969" s="19">
        <f>SUM(U$876:AA$876)+(-V$876+V955)</f>
        <v>2.3699999999999997E-3</v>
      </c>
      <c r="AC969" s="105" t="str">
        <f t="shared" si="67"/>
        <v>HL24</v>
      </c>
    </row>
    <row r="970" spans="1:29" x14ac:dyDescent="0.25">
      <c r="B970" s="103">
        <v>-1</v>
      </c>
      <c r="C970" s="9"/>
      <c r="D970" s="8"/>
      <c r="X970" s="6"/>
      <c r="Y970" s="6"/>
      <c r="Z970" s="6"/>
      <c r="AA970" s="6"/>
      <c r="AB970" s="19"/>
    </row>
    <row r="971" spans="1:29" x14ac:dyDescent="0.25">
      <c r="B971" s="103">
        <v>-1</v>
      </c>
      <c r="C971" s="9"/>
      <c r="D971" s="8"/>
      <c r="L971" t="s">
        <v>193</v>
      </c>
      <c r="M971" t="s">
        <v>193</v>
      </c>
      <c r="S971" s="6"/>
      <c r="T971" s="6"/>
      <c r="U971" s="6"/>
      <c r="V971" s="19">
        <f>+T8</f>
        <v>0</v>
      </c>
      <c r="W971" s="6" t="s">
        <v>158</v>
      </c>
      <c r="AB971" s="19" t="e">
        <f>+AB$980-V$980+#REF!</f>
        <v>#REF!</v>
      </c>
    </row>
    <row r="972" spans="1:29" x14ac:dyDescent="0.25">
      <c r="B972" s="103">
        <v>-1</v>
      </c>
      <c r="C972" s="9"/>
      <c r="D972" s="8"/>
      <c r="S972" s="6"/>
      <c r="T972" s="6"/>
      <c r="U972" s="6"/>
      <c r="V972" s="19">
        <f>+T13</f>
        <v>0</v>
      </c>
      <c r="W972" s="6" t="s">
        <v>155</v>
      </c>
      <c r="AB972" s="19" t="e">
        <f>+AB$980-V$980+#REF!</f>
        <v>#REF!</v>
      </c>
    </row>
    <row r="973" spans="1:29" x14ac:dyDescent="0.25">
      <c r="B973" s="103">
        <v>-1</v>
      </c>
      <c r="C973" s="9"/>
      <c r="D973" s="8"/>
      <c r="S973" s="6"/>
      <c r="T973" s="6"/>
      <c r="U973" s="6"/>
      <c r="V973" s="19">
        <f>T16</f>
        <v>-4.3999999999999999E-5</v>
      </c>
      <c r="W973" s="6" t="s">
        <v>156</v>
      </c>
      <c r="AB973" s="19"/>
    </row>
    <row r="974" spans="1:29" x14ac:dyDescent="0.25">
      <c r="B974" s="103">
        <v>-1</v>
      </c>
      <c r="C974" s="9"/>
      <c r="D974" s="8"/>
      <c r="S974" s="6"/>
      <c r="T974" s="6"/>
      <c r="U974" s="6"/>
      <c r="V974" s="27">
        <f>$T$19</f>
        <v>1.15E-4</v>
      </c>
      <c r="W974" s="6" t="s">
        <v>157</v>
      </c>
      <c r="AB974" s="19"/>
    </row>
    <row r="975" spans="1:29" x14ac:dyDescent="0.25">
      <c r="B975" s="103">
        <v>-1</v>
      </c>
      <c r="C975" s="9"/>
      <c r="D975" s="8"/>
      <c r="S975" s="6"/>
      <c r="T975" s="6"/>
      <c r="U975" s="6"/>
      <c r="V975" s="27">
        <f>$T$21</f>
        <v>4.6099999999999998E-4</v>
      </c>
      <c r="W975" s="6" t="s">
        <v>158</v>
      </c>
      <c r="AB975" s="19"/>
    </row>
    <row r="976" spans="1:29" x14ac:dyDescent="0.25">
      <c r="B976" s="103">
        <v>-1</v>
      </c>
      <c r="C976" s="9"/>
      <c r="D976" s="8"/>
      <c r="S976" s="6"/>
      <c r="T976" s="6"/>
      <c r="U976" s="6"/>
      <c r="V976" s="27">
        <f>$T$23</f>
        <v>-8.1300000000000003E-4</v>
      </c>
      <c r="W976" s="6" t="s">
        <v>159</v>
      </c>
      <c r="AB976" s="19"/>
    </row>
    <row r="977" spans="1:29" x14ac:dyDescent="0.25">
      <c r="B977" s="103">
        <v>-1</v>
      </c>
      <c r="C977" s="9"/>
      <c r="D977" s="8"/>
      <c r="S977" s="6"/>
      <c r="T977" s="6"/>
      <c r="U977" s="6"/>
      <c r="V977" s="27">
        <f>$T$25</f>
        <v>0</v>
      </c>
      <c r="W977" s="6" t="s">
        <v>160</v>
      </c>
      <c r="AB977" s="19"/>
    </row>
    <row r="978" spans="1:29" x14ac:dyDescent="0.25">
      <c r="B978" s="103">
        <v>-1</v>
      </c>
      <c r="C978" s="9"/>
      <c r="D978" s="8"/>
      <c r="S978" s="6"/>
      <c r="T978" s="6"/>
      <c r="U978" s="6"/>
      <c r="V978" s="19">
        <f>T27</f>
        <v>0</v>
      </c>
      <c r="W978" s="6" t="s">
        <v>161</v>
      </c>
      <c r="AB978" s="19"/>
    </row>
    <row r="979" spans="1:29" x14ac:dyDescent="0.25">
      <c r="B979" s="103"/>
      <c r="C979" s="9"/>
      <c r="D979" s="8"/>
      <c r="S979" s="6"/>
      <c r="T979" s="6"/>
      <c r="U979" s="6"/>
      <c r="V979" s="19">
        <f>T29</f>
        <v>2.6050000000000001E-3</v>
      </c>
      <c r="W979" s="6" t="s">
        <v>301</v>
      </c>
      <c r="AB979" s="19"/>
    </row>
    <row r="980" spans="1:29" x14ac:dyDescent="0.25">
      <c r="B980" s="103">
        <v>-1</v>
      </c>
      <c r="C980" s="9"/>
      <c r="D980" s="8"/>
      <c r="F980" s="70"/>
      <c r="G980" s="70"/>
      <c r="H980" s="70"/>
      <c r="I980" s="70"/>
      <c r="J980" s="161">
        <v>500</v>
      </c>
      <c r="K980" s="162">
        <v>3.9872999999999999E-2</v>
      </c>
      <c r="L980" s="161">
        <v>24.09</v>
      </c>
      <c r="M980" s="161">
        <v>24.09</v>
      </c>
      <c r="N980" s="72"/>
      <c r="O980" s="72"/>
      <c r="P980" s="72"/>
      <c r="Q980" s="72"/>
      <c r="R980" s="5"/>
      <c r="S980" s="27">
        <f>+S771</f>
        <v>2.5999999999999999E-3</v>
      </c>
      <c r="T980" s="27">
        <f>+T771</f>
        <v>-7.7250000000000001E-3</v>
      </c>
      <c r="U980" s="27">
        <f>+$S$30</f>
        <v>1.305E-3</v>
      </c>
      <c r="V980" s="27">
        <f t="shared" ref="V980:AA980" si="68">+V771</f>
        <v>5.5240000000000003E-3</v>
      </c>
      <c r="W980" s="27">
        <f t="shared" si="68"/>
        <v>0</v>
      </c>
      <c r="X980" s="27">
        <f t="shared" si="68"/>
        <v>2.5569999999999998E-3</v>
      </c>
      <c r="Y980" s="27">
        <f t="shared" si="68"/>
        <v>-1.771E-3</v>
      </c>
      <c r="Z980" s="27">
        <f t="shared" si="68"/>
        <v>6.2500000000000001E-4</v>
      </c>
      <c r="AA980" s="27">
        <f t="shared" si="68"/>
        <v>-3.4600000000000001E-4</v>
      </c>
      <c r="AB980" s="19">
        <f>SUM(U980:Z980)</f>
        <v>8.2400000000000008E-3</v>
      </c>
    </row>
    <row r="981" spans="1:29" x14ac:dyDescent="0.25">
      <c r="A981" s="1"/>
      <c r="B981" s="103">
        <v>-1</v>
      </c>
      <c r="C981" s="9"/>
      <c r="D981" s="8"/>
      <c r="F981" s="70"/>
      <c r="G981" s="70"/>
      <c r="H981" s="70"/>
      <c r="I981" s="70"/>
      <c r="J981" s="70"/>
      <c r="K981" s="70"/>
      <c r="L981" s="73">
        <v>4000</v>
      </c>
      <c r="M981" s="70"/>
      <c r="N981" s="70"/>
      <c r="O981" s="70"/>
      <c r="P981" s="70"/>
      <c r="Q981" s="70"/>
    </row>
    <row r="982" spans="1:29" x14ac:dyDescent="0.25">
      <c r="B982" s="103">
        <v>-1</v>
      </c>
      <c r="C982" s="9"/>
      <c r="D982" s="8"/>
      <c r="F982" s="12"/>
      <c r="J982" s="12" t="s">
        <v>137</v>
      </c>
      <c r="K982" s="12" t="s">
        <v>197</v>
      </c>
      <c r="L982" s="195" t="s">
        <v>30</v>
      </c>
      <c r="M982" s="195"/>
      <c r="N982" s="12"/>
      <c r="O982" s="12"/>
      <c r="P982" s="12"/>
      <c r="Q982" s="143" t="s">
        <v>173</v>
      </c>
      <c r="R982" s="12" t="s">
        <v>196</v>
      </c>
      <c r="S982" s="12">
        <v>21</v>
      </c>
      <c r="T982" s="12">
        <v>6</v>
      </c>
      <c r="U982" s="12">
        <v>3</v>
      </c>
      <c r="V982" s="12">
        <v>22</v>
      </c>
      <c r="W982" s="12">
        <v>13</v>
      </c>
      <c r="X982" s="12">
        <v>20</v>
      </c>
      <c r="Y982" s="12">
        <v>24</v>
      </c>
      <c r="Z982" s="12">
        <v>25</v>
      </c>
      <c r="AA982" s="12">
        <v>26</v>
      </c>
    </row>
    <row r="983" spans="1:29" x14ac:dyDescent="0.25">
      <c r="A983" s="13"/>
      <c r="B983" s="103">
        <v>-1</v>
      </c>
      <c r="C983" s="99" t="s">
        <v>209</v>
      </c>
      <c r="D983" s="100" t="s">
        <v>210</v>
      </c>
      <c r="E983" s="130" t="s">
        <v>199</v>
      </c>
      <c r="F983" s="13" t="s">
        <v>141</v>
      </c>
      <c r="G983" s="13" t="s">
        <v>142</v>
      </c>
      <c r="H983" s="13" t="s">
        <v>143</v>
      </c>
      <c r="J983" s="13" t="s">
        <v>144</v>
      </c>
      <c r="K983" s="13" t="s">
        <v>144</v>
      </c>
      <c r="L983" s="13" t="s">
        <v>232</v>
      </c>
      <c r="M983" s="13" t="s">
        <v>233</v>
      </c>
      <c r="N983" s="143" t="s">
        <v>138</v>
      </c>
      <c r="O983" s="13"/>
      <c r="P983" s="13"/>
      <c r="Q983" s="13"/>
      <c r="R983" s="13" t="s">
        <v>201</v>
      </c>
      <c r="S983" s="13" t="s">
        <v>106</v>
      </c>
      <c r="T983" s="13" t="s">
        <v>36</v>
      </c>
      <c r="U983" s="139" t="s">
        <v>38</v>
      </c>
      <c r="V983" s="13" t="s">
        <v>107</v>
      </c>
      <c r="W983" s="13" t="s">
        <v>108</v>
      </c>
      <c r="X983" s="13" t="s">
        <v>109</v>
      </c>
      <c r="Y983" s="139" t="s">
        <v>44</v>
      </c>
      <c r="Z983" s="139" t="s">
        <v>46</v>
      </c>
      <c r="AA983" s="139" t="s">
        <v>48</v>
      </c>
      <c r="AB983" s="66" t="s">
        <v>110</v>
      </c>
    </row>
    <row r="984" spans="1:29" ht="13" x14ac:dyDescent="0.3">
      <c r="A984" s="48"/>
      <c r="B984" s="103">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ht="13" x14ac:dyDescent="0.3">
      <c r="A985" s="1" t="s">
        <v>148</v>
      </c>
      <c r="B985" s="103">
        <f>IF(AND('AES Indiana Bill Calc.'!$D$17="HL3",'AES Indiana Bill Calc.'!$D$18="Yes 100%",'AES Indiana Bill Calc.'!$D$20="No"),'AES Indiana Bill Calc.'!$D$19,-1)</f>
        <v>-1</v>
      </c>
      <c r="C985" s="103">
        <f>MAX(E985,$C$769)</f>
        <v>2000</v>
      </c>
      <c r="D985" s="103" t="b">
        <f>IF(AND('AES Indiana Bill Calc.'!$D$17="HL3",'AES Indiana Bill Calc.'!$D$18="Yes 100%",'AES Indiana Bill Calc.'!$D$20="No"),'AES Indiana Bill Calc.'!$D$22)</f>
        <v>0</v>
      </c>
      <c r="E985" s="103" t="b">
        <f>IF(AND('AES Indiana Bill Calc.'!$D$17="HL3",'AES Indiana Bill Calc.'!$D$18="Yes 100%",'AES Indiana Bill Calc.'!$D$20="No"),'AES Indiana Bill Calc.'!$D$21)</f>
        <v>0</v>
      </c>
      <c r="F985" s="36" t="s">
        <v>69</v>
      </c>
      <c r="G985" s="92"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0.01</v>
      </c>
      <c r="U985" s="17">
        <f t="shared" si="69"/>
        <v>0</v>
      </c>
      <c r="V985" s="8">
        <f t="shared" si="69"/>
        <v>-0.01</v>
      </c>
      <c r="W985" s="17">
        <f t="shared" si="69"/>
        <v>0</v>
      </c>
      <c r="X985" s="17">
        <f t="shared" si="69"/>
        <v>0</v>
      </c>
      <c r="Y985" s="17">
        <f t="shared" si="69"/>
        <v>0</v>
      </c>
      <c r="Z985" s="17">
        <f t="shared" si="69"/>
        <v>0</v>
      </c>
      <c r="AA985" s="17">
        <f t="shared" si="69"/>
        <v>0</v>
      </c>
      <c r="AB985" s="19">
        <f>SUM(U$980:AA$980)+(-V$980+V948)</f>
        <v>2.3699999999999997E-3</v>
      </c>
      <c r="AC985" s="67" t="str">
        <f>+F985</f>
        <v>HL3</v>
      </c>
    </row>
    <row r="986" spans="1:29" ht="13" x14ac:dyDescent="0.3">
      <c r="A986" s="9"/>
      <c r="B986" s="103">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ht="13" x14ac:dyDescent="0.3">
      <c r="A987" s="1" t="s">
        <v>149</v>
      </c>
      <c r="B987" s="103">
        <f>IF(AND('AES Indiana Bill Calc.'!$D$17="HL3",'AES Indiana Bill Calc.'!$D$18="Yes 50%",'AES Indiana Bill Calc.'!$D$20="No"),'AES Indiana Bill Calc.'!$D$19,-1)</f>
        <v>-1</v>
      </c>
      <c r="C987" s="103">
        <f>MAX(E987,$C$769)</f>
        <v>2000</v>
      </c>
      <c r="D987" s="103" t="b">
        <f>IF(AND('AES Indiana Bill Calc.'!$D$17="HL3",'AES Indiana Bill Calc.'!$D$18="Yes 50%",'AES Indiana Bill Calc.'!$D$20="No"),'AES Indiana Bill Calc.'!$D$22)</f>
        <v>0</v>
      </c>
      <c r="E987" s="103" t="b">
        <f>IF(AND('AES Indiana Bill Calc.'!$D$17="HL3",'AES Indiana Bill Calc.'!$D$18="Yes 50%",'AES Indiana Bill Calc.'!$D$20="No"),'AES Indiana Bill Calc.'!$D$21)</f>
        <v>0</v>
      </c>
      <c r="F987" s="36" t="s">
        <v>69</v>
      </c>
      <c r="G987" s="92"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0.01</v>
      </c>
      <c r="U987" s="17">
        <f t="shared" si="70"/>
        <v>0</v>
      </c>
      <c r="V987" s="8">
        <f t="shared" si="70"/>
        <v>-0.01</v>
      </c>
      <c r="W987" s="17">
        <f t="shared" si="70"/>
        <v>0</v>
      </c>
      <c r="X987" s="17">
        <f t="shared" si="70"/>
        <v>0</v>
      </c>
      <c r="Y987" s="17">
        <f t="shared" si="70"/>
        <v>0</v>
      </c>
      <c r="Z987" s="17">
        <f t="shared" si="70"/>
        <v>0</v>
      </c>
      <c r="AA987" s="17">
        <f t="shared" si="70"/>
        <v>0</v>
      </c>
      <c r="AB987" s="19">
        <f>SUM(U$980:AA$980)+(-V$980+V971)</f>
        <v>2.3699999999999997E-3</v>
      </c>
      <c r="AC987" s="67" t="str">
        <f>+F987</f>
        <v>HL3</v>
      </c>
    </row>
    <row r="988" spans="1:29" ht="13" x14ac:dyDescent="0.3">
      <c r="A988" s="9"/>
      <c r="B988" s="103">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ht="13" x14ac:dyDescent="0.3">
      <c r="A989" s="1" t="s">
        <v>150</v>
      </c>
      <c r="B989" s="103">
        <f>IF(AND('AES Indiana Bill Calc.'!$D$17="HL3",'AES Indiana Bill Calc.'!$D$18="Yes 25%",'AES Indiana Bill Calc.'!$D$20="No"),'AES Indiana Bill Calc.'!$D$19,-1)</f>
        <v>-1</v>
      </c>
      <c r="C989" s="103">
        <f>MAX(E989,$C$769)</f>
        <v>2000</v>
      </c>
      <c r="D989" s="103" t="b">
        <f>IF(AND('AES Indiana Bill Calc.'!$D$17="HL3",'AES Indiana Bill Calc.'!$D$18="Yes 25%",'AES Indiana Bill Calc.'!$D$20="No"),'AES Indiana Bill Calc.'!$D$22)</f>
        <v>0</v>
      </c>
      <c r="E989" s="103" t="b">
        <f>IF(AND('AES Indiana Bill Calc.'!$D$17="HL3",'AES Indiana Bill Calc.'!$D$18="Yes 25%",'AES Indiana Bill Calc.'!$D$20="No"),'AES Indiana Bill Calc.'!$D$21)</f>
        <v>0</v>
      </c>
      <c r="F989" s="36" t="s">
        <v>69</v>
      </c>
      <c r="G989" s="92"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0.01</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ht="13" x14ac:dyDescent="0.3">
      <c r="A990" s="9"/>
      <c r="B990" s="103">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ht="13" x14ac:dyDescent="0.3">
      <c r="A991" s="1" t="s">
        <v>164</v>
      </c>
      <c r="B991" s="103">
        <f>IF(AND('AES Indiana Bill Calc.'!$D$17="HL3",'AES Indiana Bill Calc.'!$D$18="Yes 10%",'AES Indiana Bill Calc.'!$D$20="No"),'AES Indiana Bill Calc.'!$D$19,-1)</f>
        <v>-1</v>
      </c>
      <c r="C991" s="103">
        <f>MAX(E991,$C$769)</f>
        <v>2000</v>
      </c>
      <c r="D991" s="103" t="b">
        <f>IF(AND('AES Indiana Bill Calc.'!$D$17="HL3",'AES Indiana Bill Calc.'!$D$18="Yes 10%",'AES Indiana Bill Calc.'!$D$20="No"),'AES Indiana Bill Calc.'!$D$22)</f>
        <v>0</v>
      </c>
      <c r="E991" s="103" t="b">
        <f>IF(AND('AES Indiana Bill Calc.'!$D$17="HL3",'AES Indiana Bill Calc.'!$D$18="Yes 10%",'AES Indiana Bill Calc.'!$D$20="No"),'AES Indiana Bill Calc.'!$D$21)</f>
        <v>0</v>
      </c>
      <c r="F991" s="36" t="s">
        <v>69</v>
      </c>
      <c r="G991" s="92"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0.01</v>
      </c>
      <c r="U991" s="17">
        <f t="shared" si="72"/>
        <v>0</v>
      </c>
      <c r="V991" s="8">
        <f t="shared" si="72"/>
        <v>-0.01</v>
      </c>
      <c r="W991" s="17">
        <f t="shared" si="72"/>
        <v>0</v>
      </c>
      <c r="X991" s="17">
        <f t="shared" si="72"/>
        <v>0</v>
      </c>
      <c r="Y991" s="17">
        <f t="shared" si="72"/>
        <v>0</v>
      </c>
      <c r="Z991" s="17">
        <f t="shared" si="72"/>
        <v>0</v>
      </c>
      <c r="AA991" s="17">
        <f t="shared" si="72"/>
        <v>0</v>
      </c>
      <c r="AB991" s="19">
        <f>SUM(U$980:AA$980)+(-V$980+V973)</f>
        <v>2.3259999999999999E-3</v>
      </c>
      <c r="AC991" s="67" t="str">
        <f>+F991</f>
        <v>HL3</v>
      </c>
    </row>
    <row r="992" spans="1:29" ht="13" x14ac:dyDescent="0.3">
      <c r="A992" s="9"/>
      <c r="B992" s="103">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ht="13" x14ac:dyDescent="0.3">
      <c r="A993" s="1" t="s">
        <v>147</v>
      </c>
      <c r="B993" s="103">
        <f>IF(AND('AES Indiana Bill Calc.'!$D$17="HL3",'AES Indiana Bill Calc.'!$D$18="No",'AES Indiana Bill Calc.'!$D$20="No"),'AES Indiana Bill Calc.'!$D$19,-1)</f>
        <v>-1</v>
      </c>
      <c r="C993" s="103">
        <f>MAX(E993,$C$769)</f>
        <v>2000</v>
      </c>
      <c r="D993" s="103" t="b">
        <f>IF(AND('AES Indiana Bill Calc.'!$D$17="HL3",'AES Indiana Bill Calc.'!$D$18="No",'AES Indiana Bill Calc.'!$D$20="No"),'AES Indiana Bill Calc.'!$D$22)</f>
        <v>0</v>
      </c>
      <c r="E993" s="103" t="b">
        <f>IF(AND('AES Indiana Bill Calc.'!$D$17="HL3",'AES Indiana Bill Calc.'!$D$18="No",'AES Indiana Bill Calc.'!$D$20="No"),'AES Indiana Bill Calc.'!$D$21)</f>
        <v>0</v>
      </c>
      <c r="F993" s="36" t="s">
        <v>69</v>
      </c>
      <c r="G993" s="92"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0.01</v>
      </c>
      <c r="U993" s="17">
        <f t="shared" si="73"/>
        <v>0</v>
      </c>
      <c r="V993" s="8">
        <f t="shared" si="73"/>
        <v>-0.01</v>
      </c>
      <c r="W993" s="17">
        <f t="shared" si="73"/>
        <v>0</v>
      </c>
      <c r="X993" s="17">
        <f t="shared" si="73"/>
        <v>0</v>
      </c>
      <c r="Y993" s="17">
        <f t="shared" si="73"/>
        <v>0</v>
      </c>
      <c r="Z993" s="17">
        <f t="shared" si="73"/>
        <v>0</v>
      </c>
      <c r="AA993" s="17">
        <f t="shared" si="73"/>
        <v>0</v>
      </c>
      <c r="AB993" s="19">
        <f>SUM(U$980:AA$980)+(-V$980+V975)</f>
        <v>2.8309999999999993E-3</v>
      </c>
      <c r="AC993" s="67" t="str">
        <f>+F993</f>
        <v>HL3</v>
      </c>
    </row>
    <row r="994" spans="1:29" ht="13" x14ac:dyDescent="0.3">
      <c r="A994" s="48"/>
      <c r="B994" s="103">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ht="13" x14ac:dyDescent="0.3">
      <c r="A995" s="1" t="s">
        <v>148</v>
      </c>
      <c r="B995" s="103">
        <f>IF(AND('AES Indiana Bill Calc.'!$D$17="HL3",'AES Indiana Bill Calc.'!$D$18="Yes 100%",'AES Indiana Bill Calc.'!$D$20="Yes Before 2018"),'AES Indiana Bill Calc.'!$D$19,-1)</f>
        <v>-1</v>
      </c>
      <c r="C995" s="103">
        <f>MAX(E995,$C$769)</f>
        <v>2000</v>
      </c>
      <c r="D995" s="103" t="b">
        <f>IF(AND('AES Indiana Bill Calc.'!$D$17="HL3",'AES Indiana Bill Calc.'!$D$18="Yes 100%",'AES Indiana Bill Calc.'!$D$20="Yes Before 2018"),'AES Indiana Bill Calc.'!$D$22)</f>
        <v>0</v>
      </c>
      <c r="E995" s="103" t="b">
        <f>IF(AND('AES Indiana Bill Calc.'!$D$17="HL3",'AES Indiana Bill Calc.'!$D$18="Yes 100%",'AES Indiana Bill Calc.'!$D$20="Yes Before 2018"),'AES Indiana Bill Calc.'!$D$21)</f>
        <v>0</v>
      </c>
      <c r="F995" s="36" t="s">
        <v>247</v>
      </c>
      <c r="G995" s="92"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0.01</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2.3699999999999997E-3</v>
      </c>
      <c r="AC995" s="67" t="str">
        <f>+F995</f>
        <v>HL37</v>
      </c>
    </row>
    <row r="996" spans="1:29" ht="13" x14ac:dyDescent="0.3">
      <c r="A996" s="9"/>
      <c r="B996" s="103">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ht="13" x14ac:dyDescent="0.3">
      <c r="A997" s="1" t="s">
        <v>149</v>
      </c>
      <c r="B997" s="103">
        <f>IF(AND('AES Indiana Bill Calc.'!$D$17="HL3",'AES Indiana Bill Calc.'!$D$18="Yes 50%",'AES Indiana Bill Calc.'!$D$20="Yes Before 2018"),'AES Indiana Bill Calc.'!$D$19,-1)</f>
        <v>-1</v>
      </c>
      <c r="C997" s="103">
        <f>MAX(E997,$C$769)</f>
        <v>2000</v>
      </c>
      <c r="D997" s="103" t="b">
        <f>IF(AND('AES Indiana Bill Calc.'!$D$17="HL3",'AES Indiana Bill Calc.'!$D$18="Yes 50%",'AES Indiana Bill Calc.'!$D$20="Yes Before 2018"),'AES Indiana Bill Calc.'!$D$22)</f>
        <v>0</v>
      </c>
      <c r="E997" s="103" t="b">
        <f>IF(AND('AES Indiana Bill Calc.'!$D$17="HL3",'AES Indiana Bill Calc.'!$D$18="Yes 50%",'AES Indiana Bill Calc.'!$D$20="Yes Before 2018"),'AES Indiana Bill Calc.'!$D$21)</f>
        <v>0</v>
      </c>
      <c r="F997" s="36" t="s">
        <v>247</v>
      </c>
      <c r="G997" s="92"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0.01</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2.3699999999999997E-3</v>
      </c>
      <c r="AC997" s="67" t="str">
        <f>+F997</f>
        <v>HL37</v>
      </c>
    </row>
    <row r="998" spans="1:29" ht="13" x14ac:dyDescent="0.3">
      <c r="A998" s="9"/>
      <c r="B998" s="103">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ht="13" x14ac:dyDescent="0.3">
      <c r="A999" s="1" t="s">
        <v>150</v>
      </c>
      <c r="B999" s="103">
        <f>IF(AND('AES Indiana Bill Calc.'!$D$17="HL3",'AES Indiana Bill Calc.'!$D$18="Yes 25%",'AES Indiana Bill Calc.'!$D$20="Yes Before 2018"),'AES Indiana Bill Calc.'!$D$19,-1)</f>
        <v>-1</v>
      </c>
      <c r="C999" s="103">
        <f>MAX(E999,$C$769)</f>
        <v>2000</v>
      </c>
      <c r="D999" s="103" t="b">
        <f>IF(AND('AES Indiana Bill Calc.'!$D$17="HL3",'AES Indiana Bill Calc.'!$D$18="Yes 25%",'AES Indiana Bill Calc.'!$D$20="Yes Before 2018"),'AES Indiana Bill Calc.'!$D$22)</f>
        <v>0</v>
      </c>
      <c r="E999" s="103" t="b">
        <f>IF(AND('AES Indiana Bill Calc.'!$D$17="HL3",'AES Indiana Bill Calc.'!$D$18="Yes 25%",'AES Indiana Bill Calc.'!$D$20="Yes Before 2018"),'AES Indiana Bill Calc.'!$D$21)</f>
        <v>0</v>
      </c>
      <c r="F999" s="36" t="s">
        <v>247</v>
      </c>
      <c r="G999" s="92"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0.01</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ht="13" x14ac:dyDescent="0.3">
      <c r="A1000" s="9"/>
      <c r="B1000" s="103">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ht="13" x14ac:dyDescent="0.3">
      <c r="A1001" s="1" t="s">
        <v>164</v>
      </c>
      <c r="B1001" s="103">
        <f>IF(AND('AES Indiana Bill Calc.'!$D$17="HL3",'AES Indiana Bill Calc.'!$D$18="Yes 10%",'AES Indiana Bill Calc.'!$D$20="Yes Before 2018"),'AES Indiana Bill Calc.'!$D$19,-1)</f>
        <v>-1</v>
      </c>
      <c r="C1001" s="103">
        <f>MAX(E1001,$C$769)</f>
        <v>2000</v>
      </c>
      <c r="D1001" s="103" t="b">
        <f>IF(AND('AES Indiana Bill Calc.'!$D$17="HL3",'AES Indiana Bill Calc.'!$D$18="Yes 10%",'AES Indiana Bill Calc.'!$D$20="Yes Before 2018"),'AES Indiana Bill Calc.'!$D$22)</f>
        <v>0</v>
      </c>
      <c r="E1001" s="103" t="b">
        <f>IF(AND('AES Indiana Bill Calc.'!$D$17="HL3",'AES Indiana Bill Calc.'!$D$18="Yes 10%",'AES Indiana Bill Calc.'!$D$20="Yes Before 2018"),'AES Indiana Bill Calc.'!$D$21)</f>
        <v>0</v>
      </c>
      <c r="F1001" s="36" t="s">
        <v>247</v>
      </c>
      <c r="G1001" s="92"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0.01</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-7.6299999999999996E-3</v>
      </c>
      <c r="AC1001" s="67" t="str">
        <f>+F1001</f>
        <v>HL37</v>
      </c>
    </row>
    <row r="1002" spans="1:29" ht="13" x14ac:dyDescent="0.3">
      <c r="A1002" s="9"/>
      <c r="B1002" s="103">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ht="13" x14ac:dyDescent="0.3">
      <c r="A1003" s="1" t="s">
        <v>147</v>
      </c>
      <c r="B1003" s="103">
        <f>IF(AND('AES Indiana Bill Calc.'!$D$17="HL3",'AES Indiana Bill Calc.'!$D$18="No",'AES Indiana Bill Calc.'!$D$20="Yes Before 2018"),'AES Indiana Bill Calc.'!$D$19,-1)</f>
        <v>-1</v>
      </c>
      <c r="C1003" s="103">
        <f>MAX(E1003,$C$769)</f>
        <v>2000</v>
      </c>
      <c r="D1003" s="103" t="b">
        <f>IF(AND('AES Indiana Bill Calc.'!$D$17="HL3",'AES Indiana Bill Calc.'!$D$18="No",'AES Indiana Bill Calc.'!$D$20="Yes Before 2018"),'AES Indiana Bill Calc.'!$D$22)</f>
        <v>0</v>
      </c>
      <c r="E1003" s="103" t="b">
        <f>IF(AND('AES Indiana Bill Calc.'!$D$17="HL3",'AES Indiana Bill Calc.'!$D$18="No",'AES Indiana Bill Calc.'!$D$20="Yes Before 2018"),'AES Indiana Bill Calc.'!$D$21)</f>
        <v>0</v>
      </c>
      <c r="F1003" s="36" t="s">
        <v>247</v>
      </c>
      <c r="G1003" s="92"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0.01</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-7.6299999999999996E-3</v>
      </c>
      <c r="AC1003" s="67" t="str">
        <f>+F1003</f>
        <v>HL37</v>
      </c>
    </row>
    <row r="1004" spans="1:29" ht="13" x14ac:dyDescent="0.3">
      <c r="A1004" s="48"/>
      <c r="B1004" s="103">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ht="13" x14ac:dyDescent="0.3">
      <c r="A1005" s="1" t="s">
        <v>148</v>
      </c>
      <c r="B1005" s="103">
        <f>IF(AND('AES Indiana Bill Calc.'!$D$17="HL3",'AES Indiana Bill Calc.'!$D$18="Yes 100%",'AES Indiana Bill Calc.'!$D$20="Yes 2018"),'AES Indiana Bill Calc.'!$D$19,-1)</f>
        <v>-1</v>
      </c>
      <c r="C1005" s="103">
        <f>MAX(E1005,$C$769)</f>
        <v>2000</v>
      </c>
      <c r="D1005" s="103" t="b">
        <f>IF(AND('AES Indiana Bill Calc.'!$D$17="HL3",'AES Indiana Bill Calc.'!$D$18="Yes 100%",'AES Indiana Bill Calc.'!$D$20="Yes 2018"),'AES Indiana Bill Calc.'!$D$22)</f>
        <v>0</v>
      </c>
      <c r="E1005" s="103" t="b">
        <f>IF(AND('AES Indiana Bill Calc.'!$D$17="HL3",'AES Indiana Bill Calc.'!$D$18="Yes 100%",'AES Indiana Bill Calc.'!$D$20="Yes 2018"),'AES Indiana Bill Calc.'!$D$21)</f>
        <v>0</v>
      </c>
      <c r="F1005" s="36" t="s">
        <v>248</v>
      </c>
      <c r="G1005" s="92"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0.01</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-7.6299999999999996E-3</v>
      </c>
      <c r="AC1005" s="67" t="str">
        <f>+F1005</f>
        <v>HL38</v>
      </c>
    </row>
    <row r="1006" spans="1:29" ht="13" x14ac:dyDescent="0.3">
      <c r="A1006" s="48"/>
      <c r="B1006" s="103">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ht="13" x14ac:dyDescent="0.3">
      <c r="A1007" s="1" t="s">
        <v>149</v>
      </c>
      <c r="B1007" s="103">
        <f>IF(AND('AES Indiana Bill Calc.'!$D$17="HL3",'AES Indiana Bill Calc.'!$D$18="Yes 50%",'AES Indiana Bill Calc.'!$D$20="Yes 2018"),'AES Indiana Bill Calc.'!$D$19,-1)</f>
        <v>-1</v>
      </c>
      <c r="C1007" s="103">
        <f>MAX(E1007,$C$769)</f>
        <v>2000</v>
      </c>
      <c r="D1007" s="103" t="b">
        <f>IF(AND('AES Indiana Bill Calc.'!$D$17="HL3",'AES Indiana Bill Calc.'!$D$18="Yes 50%",'AES Indiana Bill Calc.'!$D$20="Yes 2018"),'AES Indiana Bill Calc.'!$D$22)</f>
        <v>0</v>
      </c>
      <c r="E1007" s="103" t="b">
        <f>IF(AND('AES Indiana Bill Calc.'!$D$17="HL3",'AES Indiana Bill Calc.'!$D$18="Yes 50%",'AES Indiana Bill Calc.'!$D$20="Yes 2018"),'AES Indiana Bill Calc.'!$D$21)</f>
        <v>0</v>
      </c>
      <c r="F1007" s="36" t="s">
        <v>248</v>
      </c>
      <c r="G1007" s="92"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0.01</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-7.6299999999999996E-3</v>
      </c>
      <c r="AC1007" s="67" t="str">
        <f>+F1007</f>
        <v>HL38</v>
      </c>
    </row>
    <row r="1008" spans="1:29" ht="13" x14ac:dyDescent="0.3">
      <c r="A1008" s="9"/>
      <c r="B1008" s="103">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ht="13" x14ac:dyDescent="0.3">
      <c r="A1009" s="1" t="s">
        <v>150</v>
      </c>
      <c r="B1009" s="103">
        <f>IF(AND('AES Indiana Bill Calc.'!$D$17="HL3",'AES Indiana Bill Calc.'!$D$18="Yes 25%",'AES Indiana Bill Calc.'!$D$20="Yes 2018"),'AES Indiana Bill Calc.'!$D$19,-1)</f>
        <v>-1</v>
      </c>
      <c r="C1009" s="103">
        <f>MAX(E1009,$C$769)</f>
        <v>2000</v>
      </c>
      <c r="D1009" s="103" t="b">
        <f>IF(AND('AES Indiana Bill Calc.'!$D$17="HL3",'AES Indiana Bill Calc.'!$D$18="Yes 25%",'AES Indiana Bill Calc.'!$D$20="Yes 2018"),'AES Indiana Bill Calc.'!$D$22)</f>
        <v>0</v>
      </c>
      <c r="E1009" s="103" t="b">
        <f>IF(AND('AES Indiana Bill Calc.'!$D$17="HL3",'AES Indiana Bill Calc.'!$D$18="Yes 25%",'AES Indiana Bill Calc.'!$D$20="Yes 2018"),'AES Indiana Bill Calc.'!$D$21)</f>
        <v>0</v>
      </c>
      <c r="F1009" s="36" t="s">
        <v>248</v>
      </c>
      <c r="G1009" s="92"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0.01</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-7.6299999999999996E-3</v>
      </c>
      <c r="AC1009" s="67" t="str">
        <f>+F1009</f>
        <v>HL38</v>
      </c>
    </row>
    <row r="1010" spans="1:29" ht="13" x14ac:dyDescent="0.3">
      <c r="A1010" s="9"/>
      <c r="B1010" s="103">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ht="13" x14ac:dyDescent="0.3">
      <c r="A1011" s="1" t="s">
        <v>164</v>
      </c>
      <c r="B1011" s="103">
        <f>IF(AND('AES Indiana Bill Calc.'!$D$17="HL3",'AES Indiana Bill Calc.'!$D$18="Yes 10%",'AES Indiana Bill Calc.'!$D$20="Yes 2018"),'AES Indiana Bill Calc.'!$D$19,-1)</f>
        <v>-1</v>
      </c>
      <c r="C1011" s="103">
        <f>MAX(E1011,$C$769)</f>
        <v>2000</v>
      </c>
      <c r="D1011" s="103" t="b">
        <f>IF(AND('AES Indiana Bill Calc.'!$D$17="HL3",'AES Indiana Bill Calc.'!$D$18="Yes 10%",'AES Indiana Bill Calc.'!$D$20="Yes 2018"),'AES Indiana Bill Calc.'!$D$22)</f>
        <v>0</v>
      </c>
      <c r="E1011" s="103" t="b">
        <f>IF(AND('AES Indiana Bill Calc.'!$D$17="HL3",'AES Indiana Bill Calc.'!$D$18="Yes 10%",'AES Indiana Bill Calc.'!$D$20="Yes 2018"),'AES Indiana Bill Calc.'!$D$21)</f>
        <v>0</v>
      </c>
      <c r="F1011" s="36" t="s">
        <v>248</v>
      </c>
      <c r="G1011" s="92"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0.01</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2.3699999999999997E-3</v>
      </c>
      <c r="AC1011" s="67" t="str">
        <f>+F1011</f>
        <v>HL38</v>
      </c>
    </row>
    <row r="1012" spans="1:29" ht="13" x14ac:dyDescent="0.3">
      <c r="A1012" s="9"/>
      <c r="B1012" s="103">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ht="13" x14ac:dyDescent="0.3">
      <c r="A1013" s="1" t="s">
        <v>147</v>
      </c>
      <c r="B1013" s="103">
        <f>IF(AND('AES Indiana Bill Calc.'!$D$17="HL3",'AES Indiana Bill Calc.'!$D$18="No",'AES Indiana Bill Calc.'!$D$20="Yes 2018"),'AES Indiana Bill Calc.'!$D$19,-1)</f>
        <v>-1</v>
      </c>
      <c r="C1013" s="103">
        <f>MAX(E1013,$C$769)</f>
        <v>2000</v>
      </c>
      <c r="D1013" s="103" t="b">
        <f>IF(AND('AES Indiana Bill Calc.'!$D$17="HL3",'AES Indiana Bill Calc.'!$D$18="No",'AES Indiana Bill Calc.'!$D$20="Yes 2018"),'AES Indiana Bill Calc.'!$D$22)</f>
        <v>0</v>
      </c>
      <c r="E1013" s="103" t="b">
        <f>IF(AND('AES Indiana Bill Calc.'!$D$17="HL3",'AES Indiana Bill Calc.'!$D$18="No",'AES Indiana Bill Calc.'!$D$20="Yes 2018"),'AES Indiana Bill Calc.'!$D$21)</f>
        <v>0</v>
      </c>
      <c r="F1013" s="36" t="s">
        <v>248</v>
      </c>
      <c r="G1013" s="92"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0.01</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2.3699999999999997E-3</v>
      </c>
      <c r="AC1013" s="67" t="str">
        <f>+F1013</f>
        <v>HL38</v>
      </c>
    </row>
    <row r="1014" spans="1:29" ht="13" x14ac:dyDescent="0.3">
      <c r="A1014" s="48"/>
      <c r="B1014" s="103">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ht="13" x14ac:dyDescent="0.3">
      <c r="A1015" s="1" t="s">
        <v>148</v>
      </c>
      <c r="B1015" s="103">
        <f>IF(AND('AES Indiana Bill Calc.'!$D$17="HL3",'AES Indiana Bill Calc.'!$D$18="Yes 100%",'AES Indiana Bill Calc.'!$D$20="Yes 2019"),'AES Indiana Bill Calc.'!$D$19,-1)</f>
        <v>-1</v>
      </c>
      <c r="C1015" s="103">
        <f>MAX(E1015,$C$769)</f>
        <v>2000</v>
      </c>
      <c r="D1015" s="103" t="b">
        <f>IF(AND('AES Indiana Bill Calc.'!$D$17="HL3",'AES Indiana Bill Calc.'!$D$18="Yes 100%",'AES Indiana Bill Calc.'!$D$20="Yes 2019"),'AES Indiana Bill Calc.'!$D$22)</f>
        <v>0</v>
      </c>
      <c r="E1015" s="103" t="b">
        <f>IF(AND('AES Indiana Bill Calc.'!$D$17="HL3",'AES Indiana Bill Calc.'!$D$18="Yes 100%",'AES Indiana Bill Calc.'!$D$20="Yes 2019"),'AES Indiana Bill Calc.'!$D$21)</f>
        <v>0</v>
      </c>
      <c r="F1015" s="36" t="s">
        <v>249</v>
      </c>
      <c r="G1015" s="92"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0.01</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2.3699999999999997E-3</v>
      </c>
      <c r="AC1015" s="67" t="str">
        <f>+F1015</f>
        <v>HL39</v>
      </c>
    </row>
    <row r="1016" spans="1:29" ht="13" x14ac:dyDescent="0.3">
      <c r="A1016" s="48"/>
      <c r="B1016" s="103">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ht="13" x14ac:dyDescent="0.3">
      <c r="A1017" s="1" t="s">
        <v>149</v>
      </c>
      <c r="B1017" s="103">
        <f>IF(AND('AES Indiana Bill Calc.'!$D$17="HL3",'AES Indiana Bill Calc.'!$D$18="Yes 50%",'AES Indiana Bill Calc.'!$D$20="Yes 2019"),'AES Indiana Bill Calc.'!$D$19,-1)</f>
        <v>-1</v>
      </c>
      <c r="C1017" s="103">
        <f>MAX(E1017,$C$769)</f>
        <v>2000</v>
      </c>
      <c r="D1017" s="103" t="b">
        <f>IF(AND('AES Indiana Bill Calc.'!$D$17="HL3",'AES Indiana Bill Calc.'!$D$18="Yes 50%",'AES Indiana Bill Calc.'!$D$20="Yes 2019"),'AES Indiana Bill Calc.'!$D$22)</f>
        <v>0</v>
      </c>
      <c r="E1017" s="103" t="b">
        <f>IF(AND('AES Indiana Bill Calc.'!$D$17="HL3",'AES Indiana Bill Calc.'!$D$18="Yes 50%",'AES Indiana Bill Calc.'!$D$20="Yes 2019"),'AES Indiana Bill Calc.'!$D$21)</f>
        <v>0</v>
      </c>
      <c r="F1017" s="36" t="s">
        <v>249</v>
      </c>
      <c r="G1017" s="92"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0.01</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2.3699999999999997E-3</v>
      </c>
      <c r="AC1017" s="67" t="str">
        <f>+F1017</f>
        <v>HL39</v>
      </c>
    </row>
    <row r="1018" spans="1:29" ht="13" x14ac:dyDescent="0.3">
      <c r="A1018" s="9"/>
      <c r="B1018" s="103">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ht="13" x14ac:dyDescent="0.3">
      <c r="A1019" s="1" t="s">
        <v>150</v>
      </c>
      <c r="B1019" s="103">
        <f>IF(AND('AES Indiana Bill Calc.'!$D$17="HL3",'AES Indiana Bill Calc.'!$D$18="Yes 25%",'AES Indiana Bill Calc.'!$D$20="Yes 2019"),'AES Indiana Bill Calc.'!$D$19,-1)</f>
        <v>-1</v>
      </c>
      <c r="C1019" s="103">
        <f>MAX(E1019,$C$769)</f>
        <v>2000</v>
      </c>
      <c r="D1019" s="103" t="b">
        <f>IF(AND('AES Indiana Bill Calc.'!$D$17="HL3",'AES Indiana Bill Calc.'!$D$18="Yes 25%",'AES Indiana Bill Calc.'!$D$20="Yes 2019"),'AES Indiana Bill Calc.'!$D$22)</f>
        <v>0</v>
      </c>
      <c r="E1019" s="103" t="b">
        <f>IF(AND('AES Indiana Bill Calc.'!$D$17="HL3",'AES Indiana Bill Calc.'!$D$18="Yes 25%",'AES Indiana Bill Calc.'!$D$20="Yes 2019"),'AES Indiana Bill Calc.'!$D$21)</f>
        <v>0</v>
      </c>
      <c r="F1019" s="36" t="s">
        <v>249</v>
      </c>
      <c r="G1019" s="92"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0.01</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2.3699999999999997E-3</v>
      </c>
      <c r="AC1019" s="67" t="str">
        <f>+F1019</f>
        <v>HL39</v>
      </c>
    </row>
    <row r="1020" spans="1:29" ht="13" x14ac:dyDescent="0.3">
      <c r="A1020" s="9"/>
      <c r="B1020" s="103">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ht="13" x14ac:dyDescent="0.3">
      <c r="A1021" s="1" t="s">
        <v>164</v>
      </c>
      <c r="B1021" s="103">
        <f>IF(AND('AES Indiana Bill Calc.'!$D$17="HL3",'AES Indiana Bill Calc.'!$D$18="Yes 10%",'AES Indiana Bill Calc.'!$D$20="Yes 2019"),'AES Indiana Bill Calc.'!$D$19,-1)</f>
        <v>-1</v>
      </c>
      <c r="C1021" s="103">
        <f>MAX(E1021,$C$769)</f>
        <v>2000</v>
      </c>
      <c r="D1021" s="103" t="b">
        <f>IF(AND('AES Indiana Bill Calc.'!$D$17="HL3",'AES Indiana Bill Calc.'!$D$18="Yes 10%",'AES Indiana Bill Calc.'!$D$20="Yes 2019"),'AES Indiana Bill Calc.'!$D$22)</f>
        <v>0</v>
      </c>
      <c r="E1021" s="103" t="b">
        <f>IF(AND('AES Indiana Bill Calc.'!$D$17="HL3",'AES Indiana Bill Calc.'!$D$18="Yes 10%",'AES Indiana Bill Calc.'!$D$20="Yes 2019"),'AES Indiana Bill Calc.'!$D$21)</f>
        <v>0</v>
      </c>
      <c r="F1021" s="36" t="s">
        <v>249</v>
      </c>
      <c r="G1021" s="92"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0.01</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2.3699999999999997E-3</v>
      </c>
      <c r="AC1021" s="67" t="str">
        <f>+F1021</f>
        <v>HL39</v>
      </c>
    </row>
    <row r="1022" spans="1:29" ht="13" x14ac:dyDescent="0.3">
      <c r="A1022" s="9"/>
      <c r="B1022" s="103">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ht="13" x14ac:dyDescent="0.3">
      <c r="A1023" s="1" t="s">
        <v>147</v>
      </c>
      <c r="B1023" s="103">
        <f>IF(AND('AES Indiana Bill Calc.'!$D$17="HL3",'AES Indiana Bill Calc.'!$D$18="No",'AES Indiana Bill Calc.'!$D$20="Yes 2019"),'AES Indiana Bill Calc.'!$D$19,-1)</f>
        <v>-1</v>
      </c>
      <c r="C1023" s="103">
        <f>MAX(E1023,$C$769)</f>
        <v>2000</v>
      </c>
      <c r="D1023" s="103" t="b">
        <f>IF(AND('AES Indiana Bill Calc.'!$D$17="HL3",'AES Indiana Bill Calc.'!$D$18="No",'AES Indiana Bill Calc.'!$D$20="Yes 2019"),'AES Indiana Bill Calc.'!$D$22)</f>
        <v>0</v>
      </c>
      <c r="E1023" s="103" t="b">
        <f>IF(AND('AES Indiana Bill Calc.'!$D$17="HL3",'AES Indiana Bill Calc.'!$D$18="No",'AES Indiana Bill Calc.'!$D$20="Yes 2019"),'AES Indiana Bill Calc.'!$D$21)</f>
        <v>0</v>
      </c>
      <c r="F1023" s="36" t="s">
        <v>249</v>
      </c>
      <c r="G1023" s="92"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0.01</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2.3699999999999997E-3</v>
      </c>
      <c r="AC1023" s="67" t="str">
        <f>+F1023</f>
        <v>HL39</v>
      </c>
    </row>
    <row r="1024" spans="1:29" ht="13" x14ac:dyDescent="0.3">
      <c r="A1024" s="48"/>
      <c r="B1024" s="103">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ht="13" x14ac:dyDescent="0.3">
      <c r="A1025" s="1" t="s">
        <v>148</v>
      </c>
      <c r="B1025" s="103">
        <f>IF(AND('AES Indiana Bill Calc.'!$D$17="HL3",'AES Indiana Bill Calc.'!$D$18="Yes 100%",'AES Indiana Bill Calc.'!$D$20="Yes 2020"),'AES Indiana Bill Calc.'!$D$19,-1)</f>
        <v>-1</v>
      </c>
      <c r="C1025" s="103">
        <f>MAX(E1025,$C$769)</f>
        <v>2000</v>
      </c>
      <c r="D1025" s="103" t="b">
        <f>IF(AND('AES Indiana Bill Calc.'!$D$17="HL3",'AES Indiana Bill Calc.'!$D$18="Yes 100%",'AES Indiana Bill Calc.'!$D$20="Yes 2020"),'AES Indiana Bill Calc.'!$D$22)</f>
        <v>0</v>
      </c>
      <c r="E1025" s="103" t="b">
        <f>IF(AND('AES Indiana Bill Calc.'!$D$17="HL3",'AES Indiana Bill Calc.'!$D$18="Yes 100%",'AES Indiana Bill Calc.'!$D$20="Yes 2020"),'AES Indiana Bill Calc.'!$D$21)</f>
        <v>0</v>
      </c>
      <c r="F1025" s="36" t="s">
        <v>250</v>
      </c>
      <c r="G1025" s="92"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0.01</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2.3699999999999997E-3</v>
      </c>
      <c r="AC1025" s="67" t="str">
        <f>+F1025</f>
        <v>HL30</v>
      </c>
    </row>
    <row r="1026" spans="1:29" ht="13" x14ac:dyDescent="0.3">
      <c r="A1026" s="48"/>
      <c r="B1026" s="103">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ht="13" x14ac:dyDescent="0.3">
      <c r="A1027" s="1" t="s">
        <v>149</v>
      </c>
      <c r="B1027" s="103">
        <f>IF(AND('AES Indiana Bill Calc.'!$D$17="HL3",'AES Indiana Bill Calc.'!$D$18="Yes 50%",'AES Indiana Bill Calc.'!$D$20="Yes 2020"),'AES Indiana Bill Calc.'!$D$19,-1)</f>
        <v>-1</v>
      </c>
      <c r="C1027" s="103">
        <f>MAX(E1027,$C$769)</f>
        <v>2000</v>
      </c>
      <c r="D1027" s="103" t="b">
        <f>IF(AND('AES Indiana Bill Calc.'!$D$17="HL3",'AES Indiana Bill Calc.'!$D$18="Yes 50%",'AES Indiana Bill Calc.'!$D$20="Yes 2020"),'AES Indiana Bill Calc.'!$D$22)</f>
        <v>0</v>
      </c>
      <c r="E1027" s="103" t="b">
        <f>IF(AND('AES Indiana Bill Calc.'!$D$17="HL3",'AES Indiana Bill Calc.'!$D$18="Yes 50%",'AES Indiana Bill Calc.'!$D$20="Yes 2020"),'AES Indiana Bill Calc.'!$D$21)</f>
        <v>0</v>
      </c>
      <c r="F1027" s="36" t="s">
        <v>250</v>
      </c>
      <c r="G1027" s="92"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0.01</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2.3699999999999997E-3</v>
      </c>
      <c r="AC1027" s="67" t="str">
        <f>+F1027</f>
        <v>HL30</v>
      </c>
    </row>
    <row r="1028" spans="1:29" ht="13" x14ac:dyDescent="0.3">
      <c r="A1028" s="9"/>
      <c r="B1028" s="103">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ht="13" x14ac:dyDescent="0.3">
      <c r="A1029" s="1" t="s">
        <v>150</v>
      </c>
      <c r="B1029" s="103">
        <f>IF(AND('AES Indiana Bill Calc.'!$D$17="HL3",'AES Indiana Bill Calc.'!$D$18="Yes 25%",'AES Indiana Bill Calc.'!$D$20="Yes 2020"),'AES Indiana Bill Calc.'!$D$19,-1)</f>
        <v>-1</v>
      </c>
      <c r="C1029" s="103">
        <f>MAX(E1029,$C$769)</f>
        <v>2000</v>
      </c>
      <c r="D1029" s="103" t="b">
        <f>IF(AND('AES Indiana Bill Calc.'!$D$17="HL3",'AES Indiana Bill Calc.'!$D$18="Yes 25%",'AES Indiana Bill Calc.'!$D$20="Yes 2020"),'AES Indiana Bill Calc.'!$D$22)</f>
        <v>0</v>
      </c>
      <c r="E1029" s="103" t="b">
        <f>IF(AND('AES Indiana Bill Calc.'!$D$17="HL3",'AES Indiana Bill Calc.'!$D$18="Yes 25%",'AES Indiana Bill Calc.'!$D$20="Yes 2020"),'AES Indiana Bill Calc.'!$D$21)</f>
        <v>0</v>
      </c>
      <c r="F1029" s="36" t="s">
        <v>250</v>
      </c>
      <c r="G1029" s="92"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0.01</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2.3699999999999997E-3</v>
      </c>
      <c r="AC1029" s="67" t="str">
        <f>+F1029</f>
        <v>HL30</v>
      </c>
    </row>
    <row r="1030" spans="1:29" ht="13" x14ac:dyDescent="0.3">
      <c r="A1030" s="9"/>
      <c r="B1030" s="103">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ht="13" x14ac:dyDescent="0.3">
      <c r="A1031" s="1" t="s">
        <v>164</v>
      </c>
      <c r="B1031" s="103">
        <f>IF(AND('AES Indiana Bill Calc.'!$D$17="HL3",'AES Indiana Bill Calc.'!$D$18="Yes 10%",'AES Indiana Bill Calc.'!$D$20="Yes 2020"),'AES Indiana Bill Calc.'!$D$19,-1)</f>
        <v>-1</v>
      </c>
      <c r="C1031" s="103">
        <f>MAX(E1031,$C$769)</f>
        <v>2000</v>
      </c>
      <c r="D1031" s="103" t="b">
        <f>IF(AND('AES Indiana Bill Calc.'!$D$17="HL3",'AES Indiana Bill Calc.'!$D$18="Yes 10%",'AES Indiana Bill Calc.'!$D$20="Yes 2020"),'AES Indiana Bill Calc.'!$D$22)</f>
        <v>0</v>
      </c>
      <c r="E1031" s="103" t="b">
        <f>IF(AND('AES Indiana Bill Calc.'!$D$17="HL3",'AES Indiana Bill Calc.'!$D$18="Yes 10%",'AES Indiana Bill Calc.'!$D$20="Yes 2020"),'AES Indiana Bill Calc.'!$D$21)</f>
        <v>0</v>
      </c>
      <c r="F1031" s="36" t="s">
        <v>250</v>
      </c>
      <c r="G1031" s="92"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0.01</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2.3699999999999997E-3</v>
      </c>
      <c r="AC1031" s="67" t="str">
        <f>+F1031</f>
        <v>HL30</v>
      </c>
    </row>
    <row r="1032" spans="1:29" ht="13" x14ac:dyDescent="0.3">
      <c r="A1032" s="9"/>
      <c r="B1032" s="103">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ht="13" x14ac:dyDescent="0.3">
      <c r="A1033" s="1" t="s">
        <v>147</v>
      </c>
      <c r="B1033" s="103">
        <f>IF(AND('AES Indiana Bill Calc.'!$D$17="HL3",'AES Indiana Bill Calc.'!$D$18="No",'AES Indiana Bill Calc.'!$D$20="Yes 2020"),'AES Indiana Bill Calc.'!$D$19,-1)</f>
        <v>-1</v>
      </c>
      <c r="C1033" s="103">
        <f>MAX(E1033,$C$769)</f>
        <v>2000</v>
      </c>
      <c r="D1033" s="103" t="b">
        <f>IF(AND('AES Indiana Bill Calc.'!$D$17="HL3",'AES Indiana Bill Calc.'!$D$18="No",'AES Indiana Bill Calc.'!$D$20="Yes 2020"),'AES Indiana Bill Calc.'!$D$22)</f>
        <v>0</v>
      </c>
      <c r="E1033" s="103" t="b">
        <f>IF(AND('AES Indiana Bill Calc.'!$D$17="HL3",'AES Indiana Bill Calc.'!$D$18="No",'AES Indiana Bill Calc.'!$D$20="Yes 2020"),'AES Indiana Bill Calc.'!$D$21)</f>
        <v>0</v>
      </c>
      <c r="F1033" s="36" t="s">
        <v>250</v>
      </c>
      <c r="G1033" s="92"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0.01</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2.3699999999999997E-3</v>
      </c>
      <c r="AC1033" s="67" t="str">
        <f>+F1033</f>
        <v>HL30</v>
      </c>
    </row>
    <row r="1034" spans="1:29" ht="13" x14ac:dyDescent="0.3">
      <c r="A1034" s="48"/>
      <c r="B1034" s="103">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ht="13" x14ac:dyDescent="0.3">
      <c r="A1035" s="1" t="s">
        <v>148</v>
      </c>
      <c r="B1035" s="103">
        <f>IF(AND('AES Indiana Bill Calc.'!$D$17="HL3",'AES Indiana Bill Calc.'!$D$18="Yes 100%",'AES Indiana Bill Calc.'!$D$20="Yes 2021"),'AES Indiana Bill Calc.'!$D$19,-1)</f>
        <v>-1</v>
      </c>
      <c r="C1035" s="103">
        <f>MAX(E1035,$C$769)</f>
        <v>2000</v>
      </c>
      <c r="D1035" s="103" t="b">
        <f>IF(AND('AES Indiana Bill Calc.'!$D$17="HL3",'AES Indiana Bill Calc.'!$D$18="Yes 100%",'AES Indiana Bill Calc.'!$D$20="Yes 2021"),'AES Indiana Bill Calc.'!$D$22)</f>
        <v>0</v>
      </c>
      <c r="E1035" s="103" t="b">
        <f>IF(AND('AES Indiana Bill Calc.'!$D$17="HL3",'AES Indiana Bill Calc.'!$D$18="Yes 100%",'AES Indiana Bill Calc.'!$D$20="Yes 2021"),'AES Indiana Bill Calc.'!$D$21)</f>
        <v>0</v>
      </c>
      <c r="F1035" s="36" t="s">
        <v>251</v>
      </c>
      <c r="G1035" s="92"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0.01</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2.3699999999999997E-3</v>
      </c>
      <c r="AC1035" s="67" t="str">
        <f>+F1035</f>
        <v>HL31</v>
      </c>
    </row>
    <row r="1036" spans="1:29" ht="13" x14ac:dyDescent="0.3">
      <c r="A1036" s="48"/>
      <c r="B1036" s="103">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ht="13" x14ac:dyDescent="0.3">
      <c r="A1037" s="1" t="s">
        <v>149</v>
      </c>
      <c r="B1037" s="103">
        <f>IF(AND('AES Indiana Bill Calc.'!$D$17="HL3",'AES Indiana Bill Calc.'!$D$18="Yes 50%",'AES Indiana Bill Calc.'!$D$20="Yes 2021"),'AES Indiana Bill Calc.'!$D$19,-1)</f>
        <v>-1</v>
      </c>
      <c r="C1037" s="103">
        <f>MAX(E1037,$C$769)</f>
        <v>2000</v>
      </c>
      <c r="D1037" s="103" t="b">
        <f>IF(AND('AES Indiana Bill Calc.'!$D$17="HL3",'AES Indiana Bill Calc.'!$D$18="Yes 50%",'AES Indiana Bill Calc.'!$D$20="Yes 2021"),'AES Indiana Bill Calc.'!$D$22)</f>
        <v>0</v>
      </c>
      <c r="E1037" s="103" t="b">
        <f>IF(AND('AES Indiana Bill Calc.'!$D$17="HL3",'AES Indiana Bill Calc.'!$D$18="Yes 50%",'AES Indiana Bill Calc.'!$D$20="Yes 2021"),'AES Indiana Bill Calc.'!$D$21)</f>
        <v>0</v>
      </c>
      <c r="F1037" s="36" t="s">
        <v>251</v>
      </c>
      <c r="G1037" s="92"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0.01</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2.3699999999999997E-3</v>
      </c>
      <c r="AC1037" s="67" t="str">
        <f>+F1037</f>
        <v>HL31</v>
      </c>
    </row>
    <row r="1038" spans="1:29" ht="13" x14ac:dyDescent="0.3">
      <c r="A1038" s="9"/>
      <c r="B1038" s="103">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ht="13" x14ac:dyDescent="0.3">
      <c r="A1039" s="1" t="s">
        <v>150</v>
      </c>
      <c r="B1039" s="103">
        <f>IF(AND('AES Indiana Bill Calc.'!$D$17="HL3",'AES Indiana Bill Calc.'!$D$18="Yes 25%",'AES Indiana Bill Calc.'!$D$20="Yes 2021"),'AES Indiana Bill Calc.'!$D$19,-1)</f>
        <v>-1</v>
      </c>
      <c r="C1039" s="103">
        <f>MAX(E1039,$C$769)</f>
        <v>2000</v>
      </c>
      <c r="D1039" s="103" t="b">
        <f>IF(AND('AES Indiana Bill Calc.'!$D$17="HL3",'AES Indiana Bill Calc.'!$D$18="Yes 25%",'AES Indiana Bill Calc.'!$D$20="Yes 2021"),'AES Indiana Bill Calc.'!$D$22)</f>
        <v>0</v>
      </c>
      <c r="E1039" s="103" t="b">
        <f>IF(AND('AES Indiana Bill Calc.'!$D$17="HL3",'AES Indiana Bill Calc.'!$D$18="Yes 25%",'AES Indiana Bill Calc.'!$D$20="Yes 2021"),'AES Indiana Bill Calc.'!$D$21)</f>
        <v>0</v>
      </c>
      <c r="F1039" s="36" t="s">
        <v>251</v>
      </c>
      <c r="G1039" s="92"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0.01</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2.3699999999999997E-3</v>
      </c>
      <c r="AC1039" s="67" t="str">
        <f>+F1039</f>
        <v>HL31</v>
      </c>
    </row>
    <row r="1040" spans="1:29" ht="13" x14ac:dyDescent="0.3">
      <c r="A1040" s="9"/>
      <c r="B1040" s="103">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ht="13" x14ac:dyDescent="0.3">
      <c r="A1041" s="1" t="s">
        <v>164</v>
      </c>
      <c r="B1041" s="103">
        <f>IF(AND('AES Indiana Bill Calc.'!$D$17="HL3",'AES Indiana Bill Calc.'!$D$18="Yes 10%",'AES Indiana Bill Calc.'!$D$20="Yes 2021"),'AES Indiana Bill Calc.'!$D$19,-1)</f>
        <v>-1</v>
      </c>
      <c r="C1041" s="103">
        <f>MAX(E1041,$C$769)</f>
        <v>2000</v>
      </c>
      <c r="D1041" s="103" t="b">
        <f>IF(AND('AES Indiana Bill Calc.'!$D$17="HL3",'AES Indiana Bill Calc.'!$D$18="Yes 10%",'AES Indiana Bill Calc.'!$D$20="Yes 2021"),'AES Indiana Bill Calc.'!$D$22)</f>
        <v>0</v>
      </c>
      <c r="E1041" s="103" t="b">
        <f>IF(AND('AES Indiana Bill Calc.'!$D$17="HL3",'AES Indiana Bill Calc.'!$D$18="Yes 10%",'AES Indiana Bill Calc.'!$D$20="Yes 2021"),'AES Indiana Bill Calc.'!$D$21)</f>
        <v>0</v>
      </c>
      <c r="F1041" s="36" t="s">
        <v>251</v>
      </c>
      <c r="G1041" s="92"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0.01</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2.3699999999999997E-3</v>
      </c>
      <c r="AC1041" s="67" t="str">
        <f>+F1041</f>
        <v>HL31</v>
      </c>
    </row>
    <row r="1042" spans="1:29" ht="13" x14ac:dyDescent="0.3">
      <c r="A1042" s="9"/>
      <c r="B1042" s="103">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ht="13" x14ac:dyDescent="0.3">
      <c r="A1043" s="1" t="s">
        <v>147</v>
      </c>
      <c r="B1043" s="103">
        <f>IF(AND('AES Indiana Bill Calc.'!$D$17="HL3",'AES Indiana Bill Calc.'!$D$18="No",'AES Indiana Bill Calc.'!$D$20="Yes 2021"),'AES Indiana Bill Calc.'!$D$19,-1)</f>
        <v>-1</v>
      </c>
      <c r="C1043" s="103">
        <f>MAX(E1043,$C$769)</f>
        <v>2000</v>
      </c>
      <c r="D1043" s="103" t="b">
        <f>IF(AND('AES Indiana Bill Calc.'!$D$17="HL3",'AES Indiana Bill Calc.'!$D$18="No",'AES Indiana Bill Calc.'!$D$20="Yes 2021"),'AES Indiana Bill Calc.'!$D$22)</f>
        <v>0</v>
      </c>
      <c r="E1043" s="103" t="b">
        <f>IF(AND('AES Indiana Bill Calc.'!$D$17="HL3",'AES Indiana Bill Calc.'!$D$18="No",'AES Indiana Bill Calc.'!$D$20="Yes 2021"),'AES Indiana Bill Calc.'!$D$21)</f>
        <v>0</v>
      </c>
      <c r="F1043" s="36" t="s">
        <v>251</v>
      </c>
      <c r="G1043" s="92"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0.01</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2.3699999999999997E-3</v>
      </c>
      <c r="AC1043" s="67" t="str">
        <f>+F1043</f>
        <v>HL31</v>
      </c>
    </row>
    <row r="1044" spans="1:29" ht="13" x14ac:dyDescent="0.3">
      <c r="A1044" s="48"/>
      <c r="B1044" s="103">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ht="13" x14ac:dyDescent="0.3">
      <c r="A1045" s="1" t="s">
        <v>148</v>
      </c>
      <c r="B1045" s="103">
        <f>IF(AND('AES Indiana Bill Calc.'!$D$17="HL3",'AES Indiana Bill Calc.'!$D$18="Yes 100%",'AES Indiana Bill Calc.'!$D$20="Yes 2022"),'AES Indiana Bill Calc.'!$D$19,-1)</f>
        <v>-1</v>
      </c>
      <c r="C1045" s="103">
        <f>MAX(E1045,$C$769)</f>
        <v>2000</v>
      </c>
      <c r="D1045" s="103" t="b">
        <f>IF(AND('AES Indiana Bill Calc.'!$D$17="HL3",'AES Indiana Bill Calc.'!$D$18="Yes 100%",'AES Indiana Bill Calc.'!$D$20="Yes 2022"),'AES Indiana Bill Calc.'!$D$22)</f>
        <v>0</v>
      </c>
      <c r="E1045" s="103" t="b">
        <f>IF(AND('AES Indiana Bill Calc.'!$D$17="HL3",'AES Indiana Bill Calc.'!$D$18="Yes 100%",'AES Indiana Bill Calc.'!$D$20="Yes 2022"),'AES Indiana Bill Calc.'!$D$21)</f>
        <v>0</v>
      </c>
      <c r="F1045" s="36" t="s">
        <v>251</v>
      </c>
      <c r="G1045" s="92"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0.01</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2.3699999999999997E-3</v>
      </c>
      <c r="AC1045" s="67" t="str">
        <f>+F1045</f>
        <v>HL31</v>
      </c>
    </row>
    <row r="1046" spans="1:29" ht="13" x14ac:dyDescent="0.3">
      <c r="A1046" s="48"/>
      <c r="B1046" s="103">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ht="13" x14ac:dyDescent="0.3">
      <c r="A1047" s="1" t="s">
        <v>149</v>
      </c>
      <c r="B1047" s="103">
        <f>IF(AND('AES Indiana Bill Calc.'!$D$17="HL3",'AES Indiana Bill Calc.'!$D$18="Yes 50%",'AES Indiana Bill Calc.'!$D$20="Yes 2022"),'AES Indiana Bill Calc.'!$D$19,-1)</f>
        <v>-1</v>
      </c>
      <c r="C1047" s="103">
        <f>MAX(E1047,$C$769)</f>
        <v>2000</v>
      </c>
      <c r="D1047" s="103" t="b">
        <f>IF(AND('AES Indiana Bill Calc.'!$D$17="HL3",'AES Indiana Bill Calc.'!$D$18="Yes 50%",'AES Indiana Bill Calc.'!$D$20="Yes 2022"),'AES Indiana Bill Calc.'!$D$22)</f>
        <v>0</v>
      </c>
      <c r="E1047" s="103" t="b">
        <f>IF(AND('AES Indiana Bill Calc.'!$D$17="HL3",'AES Indiana Bill Calc.'!$D$18="Yes 50%",'AES Indiana Bill Calc.'!$D$20="Yes 2022"),'AES Indiana Bill Calc.'!$D$21)</f>
        <v>0</v>
      </c>
      <c r="F1047" s="36" t="s">
        <v>251</v>
      </c>
      <c r="G1047" s="92"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0.01</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2.3699999999999997E-3</v>
      </c>
      <c r="AC1047" s="67" t="str">
        <f>+F1047</f>
        <v>HL31</v>
      </c>
    </row>
    <row r="1048" spans="1:29" ht="13" x14ac:dyDescent="0.3">
      <c r="A1048" s="9"/>
      <c r="B1048" s="103">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ht="13" x14ac:dyDescent="0.3">
      <c r="A1049" s="1" t="s">
        <v>150</v>
      </c>
      <c r="B1049" s="103">
        <f>IF(AND('AES Indiana Bill Calc.'!$D$17="HL3",'AES Indiana Bill Calc.'!$D$18="Yes 25%",'AES Indiana Bill Calc.'!$D$20="Yes 2022"),'AES Indiana Bill Calc.'!$D$19,-1)</f>
        <v>-1</v>
      </c>
      <c r="C1049" s="103">
        <f>MAX(E1049,$C$769)</f>
        <v>2000</v>
      </c>
      <c r="D1049" s="103" t="b">
        <f>IF(AND('AES Indiana Bill Calc.'!$D$17="HL3",'AES Indiana Bill Calc.'!$D$18="Yes 25%",'AES Indiana Bill Calc.'!$D$20="Yes 2022"),'AES Indiana Bill Calc.'!$D$22)</f>
        <v>0</v>
      </c>
      <c r="E1049" s="103" t="b">
        <f>IF(AND('AES Indiana Bill Calc.'!$D$17="HL3",'AES Indiana Bill Calc.'!$D$18="Yes 25%",'AES Indiana Bill Calc.'!$D$20="Yes 2022"),'AES Indiana Bill Calc.'!$D$21)</f>
        <v>0</v>
      </c>
      <c r="F1049" s="36" t="s">
        <v>251</v>
      </c>
      <c r="G1049" s="92"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0.01</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2.3699999999999997E-3</v>
      </c>
      <c r="AC1049" s="67" t="str">
        <f>+F1049</f>
        <v>HL31</v>
      </c>
    </row>
    <row r="1050" spans="1:29" ht="13" x14ac:dyDescent="0.3">
      <c r="A1050" s="9"/>
      <c r="B1050" s="103">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ht="13" x14ac:dyDescent="0.3">
      <c r="A1051" s="1" t="s">
        <v>164</v>
      </c>
      <c r="B1051" s="103">
        <f>IF(AND('AES Indiana Bill Calc.'!$D$17="HL3",'AES Indiana Bill Calc.'!$D$18="Yes 10%",'AES Indiana Bill Calc.'!$D$20="Yes 2022"),'AES Indiana Bill Calc.'!$D$19,-1)</f>
        <v>-1</v>
      </c>
      <c r="C1051" s="103">
        <f>MAX(E1051,$C$769)</f>
        <v>2000</v>
      </c>
      <c r="D1051" s="103" t="b">
        <f>IF(AND('AES Indiana Bill Calc.'!$D$17="HL3",'AES Indiana Bill Calc.'!$D$18="Yes 10%",'AES Indiana Bill Calc.'!$D$20="Yes 2022"),'AES Indiana Bill Calc.'!$D$22)</f>
        <v>0</v>
      </c>
      <c r="E1051" s="103" t="b">
        <f>IF(AND('AES Indiana Bill Calc.'!$D$17="HL3",'AES Indiana Bill Calc.'!$D$18="Yes 10%",'AES Indiana Bill Calc.'!$D$20="Yes 2022"),'AES Indiana Bill Calc.'!$D$21)</f>
        <v>0</v>
      </c>
      <c r="F1051" s="36" t="s">
        <v>251</v>
      </c>
      <c r="G1051" s="92"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0.01</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2.3699999999999997E-3</v>
      </c>
      <c r="AC1051" s="67" t="str">
        <f>+F1051</f>
        <v>HL31</v>
      </c>
    </row>
    <row r="1052" spans="1:29" ht="13" x14ac:dyDescent="0.3">
      <c r="A1052" s="9"/>
      <c r="B1052" s="103">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ht="13" x14ac:dyDescent="0.3">
      <c r="A1053" s="1" t="s">
        <v>147</v>
      </c>
      <c r="B1053" s="103">
        <f>IF(AND('AES Indiana Bill Calc.'!$D$17="HL3",'AES Indiana Bill Calc.'!$D$18="No",'AES Indiana Bill Calc.'!$D$20="Yes 2022"),'AES Indiana Bill Calc.'!$D$19,-1)</f>
        <v>-1</v>
      </c>
      <c r="C1053" s="103">
        <f>MAX(E1053,$C$769)</f>
        <v>2000</v>
      </c>
      <c r="D1053" s="103" t="b">
        <f>IF(AND('AES Indiana Bill Calc.'!$D$17="HL3",'AES Indiana Bill Calc.'!$D$18="No",'AES Indiana Bill Calc.'!$D$20="Yes 2022"),'AES Indiana Bill Calc.'!$D$22)</f>
        <v>0</v>
      </c>
      <c r="E1053" s="103" t="b">
        <f>IF(AND('AES Indiana Bill Calc.'!$D$17="HL3",'AES Indiana Bill Calc.'!$D$18="No",'AES Indiana Bill Calc.'!$D$20="Yes 2022"),'AES Indiana Bill Calc.'!$D$21)</f>
        <v>0</v>
      </c>
      <c r="F1053" s="36" t="s">
        <v>251</v>
      </c>
      <c r="G1053" s="92"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0.01</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2.3699999999999997E-3</v>
      </c>
      <c r="AC1053" s="67" t="str">
        <f>+F1053</f>
        <v>HL31</v>
      </c>
    </row>
    <row r="1054" spans="1:29" ht="13" x14ac:dyDescent="0.3">
      <c r="A1054" s="48"/>
      <c r="B1054" s="103">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ht="13" x14ac:dyDescent="0.3">
      <c r="A1055" s="1" t="s">
        <v>148</v>
      </c>
      <c r="B1055" s="103">
        <f>IF(AND('AES Indiana Bill Calc.'!$D$17="HL3",'AES Indiana Bill Calc.'!$D$18="Yes 100%",'AES Indiana Bill Calc.'!$D$20="Yes 2022"),'AES Indiana Bill Calc.'!$D$19,-1)</f>
        <v>-1</v>
      </c>
      <c r="C1055" s="103">
        <f>MAX(E1055,$C$769)</f>
        <v>2000</v>
      </c>
      <c r="D1055" s="103" t="b">
        <f>IF(AND('AES Indiana Bill Calc.'!$D$17="HL3",'AES Indiana Bill Calc.'!$D$18="Yes 100%",'AES Indiana Bill Calc.'!$D$20="Yes 2022"),'AES Indiana Bill Calc.'!$D$22)</f>
        <v>0</v>
      </c>
      <c r="E1055" s="103" t="b">
        <f>IF(AND('AES Indiana Bill Calc.'!$D$17="HL3",'AES Indiana Bill Calc.'!$D$18="Yes 100%",'AES Indiana Bill Calc.'!$D$20="Yes 2022"),'AES Indiana Bill Calc.'!$D$21)</f>
        <v>0</v>
      </c>
      <c r="F1055" s="36" t="s">
        <v>252</v>
      </c>
      <c r="G1055" s="92"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0.01</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2.3699999999999997E-3</v>
      </c>
      <c r="AC1055" s="67" t="str">
        <f>+F1055</f>
        <v>HL32</v>
      </c>
    </row>
    <row r="1056" spans="1:29" ht="13" x14ac:dyDescent="0.3">
      <c r="A1056" s="48"/>
      <c r="B1056" s="103">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ht="13" x14ac:dyDescent="0.3">
      <c r="A1057" s="1" t="s">
        <v>149</v>
      </c>
      <c r="B1057" s="103">
        <f>IF(AND('AES Indiana Bill Calc.'!$D$17="HL3",'AES Indiana Bill Calc.'!$D$18="Yes 50%",'AES Indiana Bill Calc.'!$D$20="Yes 2022"),'AES Indiana Bill Calc.'!$D$19,-1)</f>
        <v>-1</v>
      </c>
      <c r="C1057" s="103">
        <f>MAX(E1057,$C$769)</f>
        <v>2000</v>
      </c>
      <c r="D1057" s="103" t="b">
        <f>IF(AND('AES Indiana Bill Calc.'!$D$17="HL3",'AES Indiana Bill Calc.'!$D$18="Yes 50%",'AES Indiana Bill Calc.'!$D$20="Yes 2022"),'AES Indiana Bill Calc.'!$D$22)</f>
        <v>0</v>
      </c>
      <c r="E1057" s="103" t="b">
        <f>IF(AND('AES Indiana Bill Calc.'!$D$17="HL3",'AES Indiana Bill Calc.'!$D$18="Yes 50%",'AES Indiana Bill Calc.'!$D$20="Yes 2022"),'AES Indiana Bill Calc.'!$D$21)</f>
        <v>0</v>
      </c>
      <c r="F1057" s="36" t="s">
        <v>252</v>
      </c>
      <c r="G1057" s="92"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0.01</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2.3699999999999997E-3</v>
      </c>
      <c r="AC1057" s="67" t="str">
        <f>+F1057</f>
        <v>HL32</v>
      </c>
    </row>
    <row r="1058" spans="1:29" ht="13" x14ac:dyDescent="0.3">
      <c r="A1058" s="9"/>
      <c r="B1058" s="103">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ht="13" x14ac:dyDescent="0.3">
      <c r="A1059" s="1" t="s">
        <v>150</v>
      </c>
      <c r="B1059" s="103">
        <f>IF(AND('AES Indiana Bill Calc.'!$D$17="HL3",'AES Indiana Bill Calc.'!$D$18="Yes 25%",'AES Indiana Bill Calc.'!$D$20="Yes 2022"),'AES Indiana Bill Calc.'!$D$19,-1)</f>
        <v>-1</v>
      </c>
      <c r="C1059" s="103">
        <f>MAX(E1059,$C$769)</f>
        <v>2000</v>
      </c>
      <c r="D1059" s="103" t="b">
        <f>IF(AND('AES Indiana Bill Calc.'!$D$17="HL3",'AES Indiana Bill Calc.'!$D$18="Yes 25%",'AES Indiana Bill Calc.'!$D$20="Yes 2022"),'AES Indiana Bill Calc.'!$D$22)</f>
        <v>0</v>
      </c>
      <c r="E1059" s="103" t="b">
        <f>IF(AND('AES Indiana Bill Calc.'!$D$17="HL3",'AES Indiana Bill Calc.'!$D$18="Yes 25%",'AES Indiana Bill Calc.'!$D$20="Yes 2022"),'AES Indiana Bill Calc.'!$D$21)</f>
        <v>0</v>
      </c>
      <c r="F1059" s="36" t="s">
        <v>252</v>
      </c>
      <c r="G1059" s="92"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0.01</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2.3699999999999997E-3</v>
      </c>
      <c r="AC1059" s="67" t="str">
        <f>+F1059</f>
        <v>HL32</v>
      </c>
    </row>
    <row r="1060" spans="1:29" ht="13" x14ac:dyDescent="0.3">
      <c r="A1060" s="9"/>
      <c r="B1060" s="103">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ht="13" x14ac:dyDescent="0.3">
      <c r="A1061" s="1" t="s">
        <v>164</v>
      </c>
      <c r="B1061" s="103">
        <f>IF(AND('AES Indiana Bill Calc.'!$D$17="HL3",'AES Indiana Bill Calc.'!$D$18="Yes 10%",'AES Indiana Bill Calc.'!$D$20="Yes 2022"),'AES Indiana Bill Calc.'!$D$19,-1)</f>
        <v>-1</v>
      </c>
      <c r="C1061" s="103">
        <f>MAX(E1061,$C$769)</f>
        <v>2000</v>
      </c>
      <c r="D1061" s="103" t="b">
        <f>IF(AND('AES Indiana Bill Calc.'!$D$17="HL3",'AES Indiana Bill Calc.'!$D$18="Yes 10%",'AES Indiana Bill Calc.'!$D$20="Yes 2022"),'AES Indiana Bill Calc.'!$D$22)</f>
        <v>0</v>
      </c>
      <c r="E1061" s="103" t="b">
        <f>IF(AND('AES Indiana Bill Calc.'!$D$17="HL3",'AES Indiana Bill Calc.'!$D$18="Yes 10%",'AES Indiana Bill Calc.'!$D$20="Yes 2022"),'AES Indiana Bill Calc.'!$D$21)</f>
        <v>0</v>
      </c>
      <c r="F1061" s="36" t="s">
        <v>252</v>
      </c>
      <c r="G1061" s="92"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0.01</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2.3699999999999997E-3</v>
      </c>
      <c r="AC1061" s="67" t="str">
        <f>+F1061</f>
        <v>HL32</v>
      </c>
    </row>
    <row r="1062" spans="1:29" ht="13" x14ac:dyDescent="0.3">
      <c r="A1062" s="9"/>
      <c r="B1062" s="103">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ht="13" x14ac:dyDescent="0.3">
      <c r="A1063" s="1" t="s">
        <v>147</v>
      </c>
      <c r="B1063" s="103">
        <f>IF(AND('AES Indiana Bill Calc.'!$D$17="HL3",'AES Indiana Bill Calc.'!$D$18="No",'AES Indiana Bill Calc.'!$D$20="Yes 2022"),'AES Indiana Bill Calc.'!$D$19,-1)</f>
        <v>-1</v>
      </c>
      <c r="C1063" s="103">
        <f>MAX(E1063,$C$769)</f>
        <v>2000</v>
      </c>
      <c r="D1063" s="103" t="b">
        <f>IF(AND('AES Indiana Bill Calc.'!$D$17="HL3",'AES Indiana Bill Calc.'!$D$18="No",'AES Indiana Bill Calc.'!$D$20="Yes 2022"),'AES Indiana Bill Calc.'!$D$22)</f>
        <v>0</v>
      </c>
      <c r="E1063" s="103" t="b">
        <f>IF(AND('AES Indiana Bill Calc.'!$D$17="HL3",'AES Indiana Bill Calc.'!$D$18="No",'AES Indiana Bill Calc.'!$D$20="Yes 2022"),'AES Indiana Bill Calc.'!$D$21)</f>
        <v>0</v>
      </c>
      <c r="F1063" s="36" t="s">
        <v>252</v>
      </c>
      <c r="G1063" s="92"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0.01</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2.3699999999999997E-3</v>
      </c>
      <c r="AC1063" s="67" t="str">
        <f>+F1063</f>
        <v>HL32</v>
      </c>
    </row>
    <row r="1064" spans="1:29" ht="13" x14ac:dyDescent="0.3">
      <c r="A1064" s="48"/>
      <c r="B1064" s="103">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ht="13" x14ac:dyDescent="0.3">
      <c r="A1065" s="1" t="s">
        <v>148</v>
      </c>
      <c r="B1065" s="103">
        <f>IF(AND('AES Indiana Bill Calc.'!$D$17="HL3",'AES Indiana Bill Calc.'!$D$18="Yes 100%",'AES Indiana Bill Calc.'!$D$20="Yes 2023"),'AES Indiana Bill Calc.'!$D$19,-1)</f>
        <v>-1</v>
      </c>
      <c r="C1065" s="103">
        <f>MAX(E1065,$C$769)</f>
        <v>2000</v>
      </c>
      <c r="D1065" s="103" t="b">
        <f>IF(AND('AES Indiana Bill Calc.'!$D$17="HL3",'AES Indiana Bill Calc.'!$D$18="Yes 100%",'AES Indiana Bill Calc.'!$D$20="Yes 2023"),'AES Indiana Bill Calc.'!$D$22)</f>
        <v>0</v>
      </c>
      <c r="E1065" s="103" t="b">
        <f>IF(AND('AES Indiana Bill Calc.'!$D$17="HL3",'AES Indiana Bill Calc.'!$D$18="Yes 100%",'AES Indiana Bill Calc.'!$D$20="Yes 2023"),'AES Indiana Bill Calc.'!$D$21)</f>
        <v>0</v>
      </c>
      <c r="F1065" s="36" t="s">
        <v>253</v>
      </c>
      <c r="G1065" s="92"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0.01</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2.3699999999999997E-3</v>
      </c>
      <c r="AC1065" s="67" t="str">
        <f>+F1065</f>
        <v>HL33</v>
      </c>
    </row>
    <row r="1066" spans="1:29" ht="13" x14ac:dyDescent="0.3">
      <c r="A1066" s="48"/>
      <c r="B1066" s="103">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ht="13" x14ac:dyDescent="0.3">
      <c r="A1067" s="1" t="s">
        <v>149</v>
      </c>
      <c r="B1067" s="103">
        <f>IF(AND('AES Indiana Bill Calc.'!$D$17="HL3",'AES Indiana Bill Calc.'!$D$18="Yes 50%",'AES Indiana Bill Calc.'!$D$20="Yes 2023"),'AES Indiana Bill Calc.'!$D$19,-1)</f>
        <v>-1</v>
      </c>
      <c r="C1067" s="103">
        <f>MAX(E1067,$C$769)</f>
        <v>2000</v>
      </c>
      <c r="D1067" s="103" t="b">
        <f>IF(AND('AES Indiana Bill Calc.'!$D$17="HL3",'AES Indiana Bill Calc.'!$D$18="Yes 50%",'AES Indiana Bill Calc.'!$D$20="Yes 2023"),'AES Indiana Bill Calc.'!$D$22)</f>
        <v>0</v>
      </c>
      <c r="E1067" s="103" t="b">
        <f>IF(AND('AES Indiana Bill Calc.'!$D$17="HL3",'AES Indiana Bill Calc.'!$D$18="Yes 50%",'AES Indiana Bill Calc.'!$D$20="Yes 2023"),'AES Indiana Bill Calc.'!$D$21)</f>
        <v>0</v>
      </c>
      <c r="F1067" s="36" t="s">
        <v>253</v>
      </c>
      <c r="G1067" s="92"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0.01</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2.3699999999999997E-3</v>
      </c>
      <c r="AC1067" s="67" t="str">
        <f>+F1067</f>
        <v>HL33</v>
      </c>
    </row>
    <row r="1068" spans="1:29" ht="13" x14ac:dyDescent="0.3">
      <c r="A1068" s="9"/>
      <c r="B1068" s="103">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ht="13" x14ac:dyDescent="0.3">
      <c r="A1069" s="1" t="s">
        <v>150</v>
      </c>
      <c r="B1069" s="103">
        <f>IF(AND('AES Indiana Bill Calc.'!$D$17="HL3",'AES Indiana Bill Calc.'!$D$18="Yes 25%",'AES Indiana Bill Calc.'!$D$20="Yes 2023"),'AES Indiana Bill Calc.'!$D$19,-1)</f>
        <v>-1</v>
      </c>
      <c r="C1069" s="103">
        <f>MAX(E1069,$C$769)</f>
        <v>2000</v>
      </c>
      <c r="D1069" s="103" t="b">
        <f>IF(AND('AES Indiana Bill Calc.'!$D$17="HL3",'AES Indiana Bill Calc.'!$D$18="Yes 25%",'AES Indiana Bill Calc.'!$D$20="Yes 2023"),'AES Indiana Bill Calc.'!$D$22)</f>
        <v>0</v>
      </c>
      <c r="E1069" s="103" t="b">
        <f>IF(AND('AES Indiana Bill Calc.'!$D$17="HL3",'AES Indiana Bill Calc.'!$D$18="Yes 25%",'AES Indiana Bill Calc.'!$D$20="Yes 2023"),'AES Indiana Bill Calc.'!$D$21)</f>
        <v>0</v>
      </c>
      <c r="F1069" s="36" t="s">
        <v>253</v>
      </c>
      <c r="G1069" s="92"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0.01</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2.3699999999999997E-3</v>
      </c>
      <c r="AC1069" s="67" t="str">
        <f>+F1069</f>
        <v>HL33</v>
      </c>
    </row>
    <row r="1070" spans="1:29" ht="13" x14ac:dyDescent="0.3">
      <c r="A1070" s="9"/>
      <c r="B1070" s="103">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ht="13" x14ac:dyDescent="0.3">
      <c r="A1071" s="1" t="s">
        <v>164</v>
      </c>
      <c r="B1071" s="103">
        <f>IF(AND('AES Indiana Bill Calc.'!$D$17="HL3",'AES Indiana Bill Calc.'!$D$18="Yes 10%",'AES Indiana Bill Calc.'!$D$20="Yes 2023"),'AES Indiana Bill Calc.'!$D$19,-1)</f>
        <v>-1</v>
      </c>
      <c r="C1071" s="103">
        <f>MAX(E1071,$C$769)</f>
        <v>2000</v>
      </c>
      <c r="D1071" s="103" t="b">
        <f>IF(AND('AES Indiana Bill Calc.'!$D$17="HL3",'AES Indiana Bill Calc.'!$D$18="Yes 10%",'AES Indiana Bill Calc.'!$D$20="Yes 2023"),'AES Indiana Bill Calc.'!$D$22)</f>
        <v>0</v>
      </c>
      <c r="E1071" s="103" t="b">
        <f>IF(AND('AES Indiana Bill Calc.'!$D$17="HL3",'AES Indiana Bill Calc.'!$D$18="Yes 10%",'AES Indiana Bill Calc.'!$D$20="Yes 2023"),'AES Indiana Bill Calc.'!$D$21)</f>
        <v>0</v>
      </c>
      <c r="F1071" s="36" t="s">
        <v>253</v>
      </c>
      <c r="G1071" s="92"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0.01</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2.3699999999999997E-3</v>
      </c>
      <c r="AC1071" s="67" t="str">
        <f>+F1071</f>
        <v>HL33</v>
      </c>
    </row>
    <row r="1072" spans="1:29" ht="13" x14ac:dyDescent="0.3">
      <c r="A1072" s="9"/>
      <c r="B1072" s="103">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ht="13" x14ac:dyDescent="0.3">
      <c r="A1073" s="1" t="s">
        <v>147</v>
      </c>
      <c r="B1073" s="103">
        <f>IF(AND('AES Indiana Bill Calc.'!$D$17="HL3",'AES Indiana Bill Calc.'!$D$18="No",'AES Indiana Bill Calc.'!$D$20="Yes 2023"),'AES Indiana Bill Calc.'!$D$19,-1)</f>
        <v>-1</v>
      </c>
      <c r="C1073" s="103">
        <f>MAX(E1073,$C$769)</f>
        <v>2000</v>
      </c>
      <c r="D1073" s="103" t="b">
        <f>IF(AND('AES Indiana Bill Calc.'!$D$17="HL3",'AES Indiana Bill Calc.'!$D$18="No",'AES Indiana Bill Calc.'!$D$20="Yes 2023"),'AES Indiana Bill Calc.'!$D$22)</f>
        <v>0</v>
      </c>
      <c r="E1073" s="103" t="b">
        <f>IF(AND('AES Indiana Bill Calc.'!$D$17="HL3",'AES Indiana Bill Calc.'!$D$18="No",'AES Indiana Bill Calc.'!$D$20="Yes 2023"),'AES Indiana Bill Calc.'!$D$21)</f>
        <v>0</v>
      </c>
      <c r="F1073" s="36" t="s">
        <v>253</v>
      </c>
      <c r="G1073" s="92"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0.01</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2.3699999999999997E-3</v>
      </c>
      <c r="AC1073" s="67" t="str">
        <f>+F1073</f>
        <v>HL33</v>
      </c>
    </row>
    <row r="1074" spans="1:29" ht="13" x14ac:dyDescent="0.3">
      <c r="A1074" s="48"/>
      <c r="B1074" s="103">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ht="13" x14ac:dyDescent="0.3">
      <c r="A1075" s="1" t="s">
        <v>148</v>
      </c>
      <c r="B1075" s="103">
        <f>IF(AND('AES Indiana Bill Calc.'!$D$17="HL3",'AES Indiana Bill Calc.'!$D$18="Yes 100%",'AES Indiana Bill Calc.'!$D$20="Yes 2024"),'AES Indiana Bill Calc.'!$D$19,-1)</f>
        <v>-1</v>
      </c>
      <c r="C1075" s="103">
        <f>MAX(E1075,$C$769)</f>
        <v>2000</v>
      </c>
      <c r="D1075" s="103" t="b">
        <f>IF(AND('AES Indiana Bill Calc.'!$D$17="HL3",'AES Indiana Bill Calc.'!$D$18="Yes 100%",'AES Indiana Bill Calc.'!$D$20="Yes 2024"),'AES Indiana Bill Calc.'!$D$22)</f>
        <v>0</v>
      </c>
      <c r="E1075" s="103" t="b">
        <f>IF(AND('AES Indiana Bill Calc.'!$D$17="HL3",'AES Indiana Bill Calc.'!$D$18="Yes 100%",'AES Indiana Bill Calc.'!$D$20="Yes 2024"),'AES Indiana Bill Calc.'!$D$21)</f>
        <v>0</v>
      </c>
      <c r="F1075" s="36" t="s">
        <v>300</v>
      </c>
      <c r="G1075" s="92"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0.01</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2.3699999999999997E-3</v>
      </c>
      <c r="AC1075" s="67" t="str">
        <f>+F1075</f>
        <v>HL34</v>
      </c>
    </row>
    <row r="1076" spans="1:29" ht="13" x14ac:dyDescent="0.3">
      <c r="A1076" s="48"/>
      <c r="B1076" s="103">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ht="13" x14ac:dyDescent="0.3">
      <c r="A1077" s="1" t="s">
        <v>149</v>
      </c>
      <c r="B1077" s="103">
        <f>IF(AND('AES Indiana Bill Calc.'!$D$17="HL3",'AES Indiana Bill Calc.'!$D$18="Yes 50%",'AES Indiana Bill Calc.'!$D$20="Yes 2024"),'AES Indiana Bill Calc.'!$D$19,-1)</f>
        <v>-1</v>
      </c>
      <c r="C1077" s="103">
        <f>MAX(E1077,$C$769)</f>
        <v>2000</v>
      </c>
      <c r="D1077" s="103" t="b">
        <f>IF(AND('AES Indiana Bill Calc.'!$D$17="HL3",'AES Indiana Bill Calc.'!$D$18="Yes 50%",'AES Indiana Bill Calc.'!$D$20="Yes 2024"),'AES Indiana Bill Calc.'!$D$22)</f>
        <v>0</v>
      </c>
      <c r="E1077" s="103" t="b">
        <f>IF(AND('AES Indiana Bill Calc.'!$D$17="HL3",'AES Indiana Bill Calc.'!$D$18="Yes 50%",'AES Indiana Bill Calc.'!$D$20="Yes 2024"),'AES Indiana Bill Calc.'!$D$21)</f>
        <v>0</v>
      </c>
      <c r="F1077" s="36" t="s">
        <v>300</v>
      </c>
      <c r="G1077" s="92"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0.01</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2.3699999999999997E-3</v>
      </c>
      <c r="AC1077" s="67" t="str">
        <f>+F1077</f>
        <v>HL34</v>
      </c>
    </row>
    <row r="1078" spans="1:29" ht="13" x14ac:dyDescent="0.3">
      <c r="A1078" s="9"/>
      <c r="B1078" s="103">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ht="13" x14ac:dyDescent="0.3">
      <c r="A1079" s="1" t="s">
        <v>150</v>
      </c>
      <c r="B1079" s="103">
        <f>IF(AND('AES Indiana Bill Calc.'!$D$17="HL3",'AES Indiana Bill Calc.'!$D$18="Yes 25%",'AES Indiana Bill Calc.'!$D$20="Yes 2024"),'AES Indiana Bill Calc.'!$D$19,-1)</f>
        <v>-1</v>
      </c>
      <c r="C1079" s="103">
        <f>MAX(E1079,$C$769)</f>
        <v>2000</v>
      </c>
      <c r="D1079" s="103" t="b">
        <f>IF(AND('AES Indiana Bill Calc.'!$D$17="HL3",'AES Indiana Bill Calc.'!$D$18="Yes 25%",'AES Indiana Bill Calc.'!$D$20="Yes 2024"),'AES Indiana Bill Calc.'!$D$22)</f>
        <v>0</v>
      </c>
      <c r="E1079" s="103" t="b">
        <f>IF(AND('AES Indiana Bill Calc.'!$D$17="HL3",'AES Indiana Bill Calc.'!$D$18="Yes 25%",'AES Indiana Bill Calc.'!$D$20="Yes 2024"),'AES Indiana Bill Calc.'!$D$21)</f>
        <v>0</v>
      </c>
      <c r="F1079" s="36" t="s">
        <v>300</v>
      </c>
      <c r="G1079" s="92"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0.01</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2.3699999999999997E-3</v>
      </c>
      <c r="AC1079" s="67" t="str">
        <f>+F1079</f>
        <v>HL34</v>
      </c>
    </row>
    <row r="1080" spans="1:29" ht="13" x14ac:dyDescent="0.3">
      <c r="A1080" s="9"/>
      <c r="B1080" s="103">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ht="13" x14ac:dyDescent="0.3">
      <c r="A1081" s="1" t="s">
        <v>164</v>
      </c>
      <c r="B1081" s="103">
        <f>IF(AND('AES Indiana Bill Calc.'!$D$17="HL3",'AES Indiana Bill Calc.'!$D$18="Yes 10%",'AES Indiana Bill Calc.'!$D$20="Yes 2024"),'AES Indiana Bill Calc.'!$D$19,-1)</f>
        <v>-1</v>
      </c>
      <c r="C1081" s="103">
        <f>MAX(E1081,$C$769)</f>
        <v>2000</v>
      </c>
      <c r="D1081" s="103" t="b">
        <f>IF(AND('AES Indiana Bill Calc.'!$D$17="HL3",'AES Indiana Bill Calc.'!$D$18="Yes 10%",'AES Indiana Bill Calc.'!$D$20="Yes 2024"),'AES Indiana Bill Calc.'!$D$22)</f>
        <v>0</v>
      </c>
      <c r="E1081" s="103" t="b">
        <f>IF(AND('AES Indiana Bill Calc.'!$D$17="HL3",'AES Indiana Bill Calc.'!$D$18="Yes 10%",'AES Indiana Bill Calc.'!$D$20="Yes 2024"),'AES Indiana Bill Calc.'!$D$21)</f>
        <v>0</v>
      </c>
      <c r="F1081" s="36" t="s">
        <v>300</v>
      </c>
      <c r="G1081" s="92"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0.01</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2.3699999999999997E-3</v>
      </c>
      <c r="AC1081" s="67" t="str">
        <f>+F1081</f>
        <v>HL34</v>
      </c>
    </row>
    <row r="1082" spans="1:29" ht="13" x14ac:dyDescent="0.3">
      <c r="A1082" s="9"/>
      <c r="B1082" s="103">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ht="13" x14ac:dyDescent="0.3">
      <c r="A1083" s="1" t="s">
        <v>147</v>
      </c>
      <c r="B1083" s="103">
        <f>IF(AND('AES Indiana Bill Calc.'!$D$17="HL3",'AES Indiana Bill Calc.'!$D$18="No",'AES Indiana Bill Calc.'!$D$20="Yes 2024"),'AES Indiana Bill Calc.'!$D$19,-1)</f>
        <v>-1</v>
      </c>
      <c r="C1083" s="103">
        <f>MAX(E1083,$C$769)</f>
        <v>2000</v>
      </c>
      <c r="D1083" s="103" t="b">
        <f>IF(AND('AES Indiana Bill Calc.'!$D$17="HL3",'AES Indiana Bill Calc.'!$D$18="No",'AES Indiana Bill Calc.'!$D$20="Yes 2024"),'AES Indiana Bill Calc.'!$D$22)</f>
        <v>0</v>
      </c>
      <c r="E1083" s="103" t="b">
        <f>IF(AND('AES Indiana Bill Calc.'!$D$17="HL3",'AES Indiana Bill Calc.'!$D$18="No",'AES Indiana Bill Calc.'!$D$20="Yes 2024"),'AES Indiana Bill Calc.'!$D$21)</f>
        <v>0</v>
      </c>
      <c r="F1083" s="36" t="s">
        <v>300</v>
      </c>
      <c r="G1083" s="92"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0.01</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2.3699999999999997E-3</v>
      </c>
      <c r="AC1083" s="67" t="str">
        <f>+F1083</f>
        <v>HL34</v>
      </c>
    </row>
    <row r="1084" spans="1:29" s="167" customFormat="1" ht="13.5" x14ac:dyDescent="0.3">
      <c r="A1084" s="1"/>
      <c r="B1084" s="103">
        <v>-1</v>
      </c>
      <c r="C1084" s="103"/>
      <c r="D1084" s="103"/>
      <c r="E1084" s="103"/>
      <c r="F1084" s="173"/>
      <c r="G1084" s="92"/>
      <c r="H1084" s="170"/>
      <c r="J1084" s="51"/>
      <c r="K1084" s="17"/>
      <c r="L1084" s="17"/>
      <c r="M1084" s="17"/>
      <c r="N1084" s="17"/>
      <c r="O1084" s="17"/>
      <c r="P1084" s="17"/>
      <c r="Q1084" s="17"/>
      <c r="R1084" s="16"/>
      <c r="S1084" s="17"/>
      <c r="T1084" s="17"/>
      <c r="U1084" s="17"/>
      <c r="V1084" s="8"/>
      <c r="W1084" s="17"/>
      <c r="X1084" s="17"/>
      <c r="Y1084" s="17"/>
      <c r="Z1084" s="17"/>
      <c r="AA1084" s="17"/>
      <c r="AB1084" s="170"/>
      <c r="AC1084" s="67"/>
    </row>
    <row r="1085" spans="1:29" x14ac:dyDescent="0.25">
      <c r="B1085" s="103">
        <v>-1</v>
      </c>
      <c r="C1085" s="9"/>
      <c r="D1085" s="8"/>
      <c r="S1085" s="6"/>
      <c r="T1085" s="6"/>
      <c r="U1085" s="6"/>
      <c r="V1085" s="27" t="s">
        <v>254</v>
      </c>
      <c r="W1085" s="6"/>
      <c r="AB1085" s="19"/>
    </row>
    <row r="1086" spans="1:29" x14ac:dyDescent="0.25">
      <c r="B1086" s="103">
        <v>-1</v>
      </c>
      <c r="C1086" s="9"/>
      <c r="D1086" s="8"/>
      <c r="F1086" s="70"/>
      <c r="G1086" s="70"/>
      <c r="H1086" s="70"/>
      <c r="I1086" s="70"/>
      <c r="J1086" s="161">
        <v>508.21</v>
      </c>
      <c r="K1086" s="162">
        <v>6.021E-2</v>
      </c>
      <c r="L1086" s="161">
        <v>15.06</v>
      </c>
      <c r="M1086" s="161">
        <v>15.06</v>
      </c>
      <c r="N1086" s="72"/>
      <c r="O1086" s="72"/>
      <c r="P1086" s="72"/>
      <c r="Q1086" s="72"/>
      <c r="R1086" s="5"/>
      <c r="S1086" s="27">
        <f>S980</f>
        <v>2.5999999999999999E-3</v>
      </c>
      <c r="T1086" s="27">
        <f>T980</f>
        <v>-7.7250000000000001E-3</v>
      </c>
      <c r="U1086" s="19">
        <f>$S$30</f>
        <v>1.305E-3</v>
      </c>
      <c r="V1086" s="27">
        <f>$T$16</f>
        <v>-4.3999999999999999E-5</v>
      </c>
      <c r="W1086" s="27">
        <v>0</v>
      </c>
      <c r="X1086" s="27">
        <f>+X980</f>
        <v>2.5569999999999998E-3</v>
      </c>
      <c r="Y1086" s="27">
        <f>+Y980</f>
        <v>-1.771E-3</v>
      </c>
      <c r="Z1086" s="27">
        <f>+Z980</f>
        <v>6.2500000000000001E-4</v>
      </c>
      <c r="AA1086" s="27">
        <f>+AA980</f>
        <v>-3.4600000000000001E-4</v>
      </c>
      <c r="AB1086" s="19">
        <f>SUM(V1086:Z1086)</f>
        <v>1.3669999999999997E-3</v>
      </c>
    </row>
    <row r="1087" spans="1:29" x14ac:dyDescent="0.25">
      <c r="A1087" s="1"/>
      <c r="B1087" s="103">
        <v>-1</v>
      </c>
      <c r="C1087" s="9"/>
      <c r="D1087" s="8"/>
      <c r="F1087" s="70"/>
      <c r="G1087" s="70"/>
      <c r="H1087" s="70"/>
      <c r="I1087" s="70"/>
      <c r="J1087" s="70"/>
      <c r="K1087" s="70"/>
      <c r="L1087" s="73">
        <v>4000</v>
      </c>
      <c r="M1087" s="70"/>
      <c r="N1087" s="70"/>
      <c r="O1087" s="70"/>
      <c r="P1087" s="70"/>
      <c r="Q1087" s="70"/>
    </row>
    <row r="1088" spans="1:29" x14ac:dyDescent="0.25">
      <c r="B1088" s="103">
        <v>-1</v>
      </c>
      <c r="C1088" s="9"/>
      <c r="D1088" s="8"/>
      <c r="F1088" s="12"/>
      <c r="J1088" s="12" t="s">
        <v>137</v>
      </c>
      <c r="K1088" s="12" t="s">
        <v>197</v>
      </c>
      <c r="L1088" s="195" t="s">
        <v>30</v>
      </c>
      <c r="M1088" s="195"/>
      <c r="N1088" s="12"/>
      <c r="O1088" s="12"/>
      <c r="P1088" s="12"/>
      <c r="Q1088" s="143" t="s">
        <v>173</v>
      </c>
      <c r="R1088" s="12" t="s">
        <v>196</v>
      </c>
      <c r="S1088" s="12">
        <v>21</v>
      </c>
      <c r="T1088" s="12">
        <v>6</v>
      </c>
      <c r="U1088" s="12">
        <v>3</v>
      </c>
      <c r="V1088" s="12">
        <v>22</v>
      </c>
      <c r="W1088" s="12">
        <v>13</v>
      </c>
      <c r="X1088" s="12">
        <v>20</v>
      </c>
      <c r="Y1088" s="12">
        <v>24</v>
      </c>
      <c r="Z1088" s="12">
        <v>25</v>
      </c>
      <c r="AA1088" s="12">
        <v>26</v>
      </c>
    </row>
    <row r="1089" spans="1:29" x14ac:dyDescent="0.25">
      <c r="A1089" s="13"/>
      <c r="B1089" s="103">
        <v>-1</v>
      </c>
      <c r="C1089" s="99" t="s">
        <v>209</v>
      </c>
      <c r="D1089" s="100" t="s">
        <v>210</v>
      </c>
      <c r="E1089" s="130" t="s">
        <v>199</v>
      </c>
      <c r="F1089" s="13" t="s">
        <v>141</v>
      </c>
      <c r="G1089" s="13" t="s">
        <v>142</v>
      </c>
      <c r="H1089" s="13" t="s">
        <v>143</v>
      </c>
      <c r="J1089" s="13" t="s">
        <v>144</v>
      </c>
      <c r="K1089" s="13" t="s">
        <v>144</v>
      </c>
      <c r="L1089" s="13" t="s">
        <v>232</v>
      </c>
      <c r="M1089" s="13" t="s">
        <v>233</v>
      </c>
      <c r="N1089" s="143" t="s">
        <v>138</v>
      </c>
      <c r="O1089" s="13"/>
      <c r="P1089" s="13"/>
      <c r="Q1089" s="13"/>
      <c r="R1089" s="13" t="s">
        <v>201</v>
      </c>
      <c r="S1089" s="13" t="s">
        <v>106</v>
      </c>
      <c r="T1089" s="13" t="s">
        <v>36</v>
      </c>
      <c r="U1089" s="139" t="s">
        <v>38</v>
      </c>
      <c r="V1089" s="13" t="s">
        <v>107</v>
      </c>
      <c r="W1089" s="13" t="s">
        <v>108</v>
      </c>
      <c r="X1089" s="13" t="s">
        <v>109</v>
      </c>
      <c r="Y1089" s="139" t="s">
        <v>44</v>
      </c>
      <c r="Z1089" s="139" t="s">
        <v>46</v>
      </c>
      <c r="AA1089" s="139" t="s">
        <v>48</v>
      </c>
      <c r="AB1089" s="66" t="s">
        <v>110</v>
      </c>
    </row>
    <row r="1090" spans="1:29" ht="13" x14ac:dyDescent="0.3">
      <c r="B1090" s="103">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ht="13" x14ac:dyDescent="0.3">
      <c r="A1091" s="1" t="s">
        <v>148</v>
      </c>
      <c r="B1091" s="103">
        <f>IF(AND('AES Indiana Bill Calc.'!$D$17="HL4",'AES Indiana Bill Calc.'!$D$18="Yes 100%",'AES Indiana Bill Calc.'!$D$20="No"),'AES Indiana Bill Calc.'!$D$19,-1)</f>
        <v>-1</v>
      </c>
      <c r="C1091" s="103">
        <f>MAX(E1091,$C$769)</f>
        <v>2000</v>
      </c>
      <c r="D1091" s="103" t="b">
        <f>IF(AND('AES Indiana Bill Calc.'!$D$17="HL4",'AES Indiana Bill Calc.'!$D$18="Yes 100%",'AES Indiana Bill Calc.'!$D$20="No"),'AES Indiana Bill Calc.'!$D$22)</f>
        <v>0</v>
      </c>
      <c r="E1091" s="103" t="b">
        <f>IF(AND('AES Indiana Bill Calc.'!$D$17="HL4",'AES Indiana Bill Calc.'!$D$18="Yes 100%",'AES Indiana Bill Calc.'!$D$20="No"),'AES Indiana Bill Calc.'!$D$21)</f>
        <v>0</v>
      </c>
      <c r="F1091" s="36" t="s">
        <v>71</v>
      </c>
      <c r="G1091" s="92"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0.01</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ht="13" x14ac:dyDescent="0.3">
      <c r="A1092" s="48"/>
      <c r="B1092" s="103">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ht="13" x14ac:dyDescent="0.3">
      <c r="A1093" s="1" t="s">
        <v>149</v>
      </c>
      <c r="B1093" s="103">
        <f>IF(AND('AES Indiana Bill Calc.'!$D$17="HL4",'AES Indiana Bill Calc.'!$D$18="Yes 50%",'AES Indiana Bill Calc.'!$D$20="No"),'AES Indiana Bill Calc.'!$D$19,-1)</f>
        <v>-1</v>
      </c>
      <c r="C1093" s="103">
        <f>MAX(E1093,$C$769)</f>
        <v>2000</v>
      </c>
      <c r="D1093" s="103" t="b">
        <f>IF(AND('AES Indiana Bill Calc.'!$D$17="HL4",'AES Indiana Bill Calc.'!$D$18="Yes 50%",'AES Indiana Bill Calc.'!$D$20="No"),'AES Indiana Bill Calc.'!$D$22)</f>
        <v>0</v>
      </c>
      <c r="E1093" s="103" t="b">
        <f>IF(AND('AES Indiana Bill Calc.'!$D$17="HL4",'AES Indiana Bill Calc.'!$D$18="Yes 50%",'AES Indiana Bill Calc.'!$D$20="No"),'AES Indiana Bill Calc.'!$D$21)</f>
        <v>0</v>
      </c>
      <c r="F1093" s="36" t="s">
        <v>71</v>
      </c>
      <c r="G1093" s="92"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0.01</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ht="13" x14ac:dyDescent="0.3">
      <c r="A1094" s="9"/>
      <c r="B1094" s="103">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ht="13" x14ac:dyDescent="0.3">
      <c r="A1095" s="1" t="s">
        <v>150</v>
      </c>
      <c r="B1095" s="103">
        <f>IF(AND('AES Indiana Bill Calc.'!$D$17="HL4",'AES Indiana Bill Calc.'!$D$18="Yes 25%",'AES Indiana Bill Calc.'!$D$20="No"),'AES Indiana Bill Calc.'!$D$19,-1)</f>
        <v>-1</v>
      </c>
      <c r="C1095" s="103">
        <f>MAX(E1095,$C$769)</f>
        <v>2000</v>
      </c>
      <c r="D1095" s="103" t="b">
        <f>IF(AND('AES Indiana Bill Calc.'!$D$17="HL4",'AES Indiana Bill Calc.'!$D$18="Yes 25%",'AES Indiana Bill Calc.'!$D$20="No"),'AES Indiana Bill Calc.'!$D$22)</f>
        <v>0</v>
      </c>
      <c r="E1095" s="103" t="b">
        <f>IF(AND('AES Indiana Bill Calc.'!$D$17="HL4",'AES Indiana Bill Calc.'!$D$18="Yes 25%",'AES Indiana Bill Calc.'!$D$20="No"),'AES Indiana Bill Calc.'!$D$21)</f>
        <v>0</v>
      </c>
      <c r="F1095" s="36" t="s">
        <v>71</v>
      </c>
      <c r="G1095" s="92"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0.01</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ht="13" x14ac:dyDescent="0.3">
      <c r="A1096" s="9"/>
      <c r="B1096" s="103">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ht="13" x14ac:dyDescent="0.3">
      <c r="A1097" s="1" t="s">
        <v>164</v>
      </c>
      <c r="B1097" s="103">
        <f>IF(AND('AES Indiana Bill Calc.'!$D$17="HL4",'AES Indiana Bill Calc.'!$D$18="Yes 10%",'AES Indiana Bill Calc.'!$D$20="No"),'AES Indiana Bill Calc.'!$D$19,-1)</f>
        <v>-1</v>
      </c>
      <c r="C1097" s="103">
        <f>MAX(E1097,$C$769)</f>
        <v>2000</v>
      </c>
      <c r="D1097" s="103" t="b">
        <f>IF(AND('AES Indiana Bill Calc.'!$D$17="HL4",'AES Indiana Bill Calc.'!$D$18="Yes 10%",'AES Indiana Bill Calc.'!$D$20="No"),'AES Indiana Bill Calc.'!$D$22)</f>
        <v>0</v>
      </c>
      <c r="E1097" s="103" t="b">
        <f>IF(AND('AES Indiana Bill Calc.'!$D$17="HL4",'AES Indiana Bill Calc.'!$D$18="Yes 10%",'AES Indiana Bill Calc.'!$D$20="No"),'AES Indiana Bill Calc.'!$D$21)</f>
        <v>0</v>
      </c>
      <c r="F1097" s="36" t="s">
        <v>71</v>
      </c>
      <c r="G1097" s="92"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0.01</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ht="13" x14ac:dyDescent="0.3">
      <c r="A1098" s="9"/>
      <c r="B1098" s="103">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ht="13" x14ac:dyDescent="0.3">
      <c r="A1099" s="1" t="s">
        <v>147</v>
      </c>
      <c r="B1099" s="103">
        <f>IF(AND('AES Indiana Bill Calc.'!$D$17="HL4",'AES Indiana Bill Calc.'!$D$18="No",'AES Indiana Bill Calc.'!$D$20="No"),'AES Indiana Bill Calc.'!$D$19,-1)</f>
        <v>-1</v>
      </c>
      <c r="C1099" s="103">
        <f>MAX(E1099,$C$769)</f>
        <v>2000</v>
      </c>
      <c r="D1099" s="103" t="b">
        <f>IF(AND('AES Indiana Bill Calc.'!$D$17="HL4",'AES Indiana Bill Calc.'!$D$18="No",'AES Indiana Bill Calc.'!$D$20="No"),'AES Indiana Bill Calc.'!$D$22)</f>
        <v>0</v>
      </c>
      <c r="E1099" s="103" t="b">
        <f>IF(AND('AES Indiana Bill Calc.'!$D$17="HL4",'AES Indiana Bill Calc.'!$D$18="No",'AES Indiana Bill Calc.'!$D$20="No"),'AES Indiana Bill Calc.'!$D$21)</f>
        <v>0</v>
      </c>
      <c r="F1099" s="36" t="s">
        <v>71</v>
      </c>
      <c r="G1099" s="92"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0.01</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ht="13" x14ac:dyDescent="0.3">
      <c r="B1100" s="103">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ht="13" x14ac:dyDescent="0.3">
      <c r="A1101" s="1" t="s">
        <v>148</v>
      </c>
      <c r="B1101" s="103">
        <f>IF(AND('AES Indiana Bill Calc.'!$D$17="HL4",'AES Indiana Bill Calc.'!$D$18="Yes 100%",'AES Indiana Bill Calc.'!$D$20="Yes Before 2018"),'AES Indiana Bill Calc.'!$D$19,-1)</f>
        <v>-1</v>
      </c>
      <c r="C1101" s="103">
        <f>MAX(E1101,$C$769)</f>
        <v>2000</v>
      </c>
      <c r="D1101" s="103" t="b">
        <f>IF(AND('AES Indiana Bill Calc.'!$D$17="HL4",'AES Indiana Bill Calc.'!$D$18="Yes 100%",'AES Indiana Bill Calc.'!$D$20="Yes Before 2018"),'AES Indiana Bill Calc.'!$D$22)</f>
        <v>0</v>
      </c>
      <c r="E1101" s="103" t="b">
        <f>IF(AND('AES Indiana Bill Calc.'!$D$17="HL4",'AES Indiana Bill Calc.'!$D$18="Yes 100%",'AES Indiana Bill Calc.'!$D$20="Yes Before 2018"),'AES Indiana Bill Calc.'!$D$21)</f>
        <v>0</v>
      </c>
      <c r="F1101" s="36" t="s">
        <v>255</v>
      </c>
      <c r="G1101" s="92"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0.01</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ht="13" x14ac:dyDescent="0.3">
      <c r="A1102" s="48"/>
      <c r="B1102" s="103">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ht="13" x14ac:dyDescent="0.3">
      <c r="A1103" s="1" t="s">
        <v>149</v>
      </c>
      <c r="B1103" s="103">
        <f>IF(AND('AES Indiana Bill Calc.'!$D$17="HL4",'AES Indiana Bill Calc.'!$D$18="Yes 50%",'AES Indiana Bill Calc.'!$D$20="Yes Before 2018"),'AES Indiana Bill Calc.'!$D$19,-1)</f>
        <v>-1</v>
      </c>
      <c r="C1103" s="103">
        <f>MAX(E1103,$C$769)</f>
        <v>2000</v>
      </c>
      <c r="D1103" s="103" t="b">
        <f>IF(AND('AES Indiana Bill Calc.'!$D$17="HL4",'AES Indiana Bill Calc.'!$D$18="Yes 50%",'AES Indiana Bill Calc.'!$D$20="Yes Before 2018"),'AES Indiana Bill Calc.'!$D$22)</f>
        <v>0</v>
      </c>
      <c r="E1103" s="103" t="b">
        <f>IF(AND('AES Indiana Bill Calc.'!$D$17="HL4",'AES Indiana Bill Calc.'!$D$18="Yes 50%",'AES Indiana Bill Calc.'!$D$20="Yes Before 2018"),'AES Indiana Bill Calc.'!$D$21)</f>
        <v>0</v>
      </c>
      <c r="F1103" s="36" t="s">
        <v>255</v>
      </c>
      <c r="G1103" s="92"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0.01</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ht="13" x14ac:dyDescent="0.3">
      <c r="A1104" s="9"/>
      <c r="B1104" s="103">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ht="13" x14ac:dyDescent="0.3">
      <c r="A1105" s="1" t="s">
        <v>150</v>
      </c>
      <c r="B1105" s="103">
        <f>IF(AND('AES Indiana Bill Calc.'!$D$17="HL4",'AES Indiana Bill Calc.'!$D$18="Yes 25%",'AES Indiana Bill Calc.'!$D$20="Yes Before 2018"),'AES Indiana Bill Calc.'!$D$19,-1)</f>
        <v>-1</v>
      </c>
      <c r="C1105" s="103">
        <f>MAX(E1105,$C$769)</f>
        <v>2000</v>
      </c>
      <c r="D1105" s="103" t="b">
        <f>IF(AND('AES Indiana Bill Calc.'!$D$17="HL4",'AES Indiana Bill Calc.'!$D$18="Yes 25%",'AES Indiana Bill Calc.'!$D$20="Yes Before 2018"),'AES Indiana Bill Calc.'!$D$22)</f>
        <v>0</v>
      </c>
      <c r="E1105" s="103" t="b">
        <f>IF(AND('AES Indiana Bill Calc.'!$D$17="HL4",'AES Indiana Bill Calc.'!$D$18="Yes 25%",'AES Indiana Bill Calc.'!$D$20="Yes Before 2018"),'AES Indiana Bill Calc.'!$D$21)</f>
        <v>0</v>
      </c>
      <c r="F1105" s="36" t="s">
        <v>255</v>
      </c>
      <c r="G1105" s="92"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0.01</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ht="13" x14ac:dyDescent="0.3">
      <c r="A1106" s="9"/>
      <c r="B1106" s="103">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ht="13" x14ac:dyDescent="0.3">
      <c r="A1107" s="1" t="s">
        <v>164</v>
      </c>
      <c r="B1107" s="103">
        <f>IF(AND('AES Indiana Bill Calc.'!$D$17="HL4",'AES Indiana Bill Calc.'!$D$18="Yes 10%",'AES Indiana Bill Calc.'!$D$20="Yes Before 2018"),'AES Indiana Bill Calc.'!$D$19,-1)</f>
        <v>-1</v>
      </c>
      <c r="C1107" s="103">
        <f>MAX(E1107,$C$769)</f>
        <v>2000</v>
      </c>
      <c r="D1107" s="103" t="b">
        <f>IF(AND('AES Indiana Bill Calc.'!$D$17="HL4",'AES Indiana Bill Calc.'!$D$18="Yes 10%",'AES Indiana Bill Calc.'!$D$20="Yes Before 2018"),'AES Indiana Bill Calc.'!$D$22)</f>
        <v>0</v>
      </c>
      <c r="E1107" s="103" t="b">
        <f>IF(AND('AES Indiana Bill Calc.'!$D$17="HL4",'AES Indiana Bill Calc.'!$D$18="Yes 10%",'AES Indiana Bill Calc.'!$D$20="Yes Before 2018"),'AES Indiana Bill Calc.'!$D$21)</f>
        <v>0</v>
      </c>
      <c r="F1107" s="36" t="s">
        <v>255</v>
      </c>
      <c r="G1107" s="92"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0.01</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ht="13" x14ac:dyDescent="0.3">
      <c r="A1108" s="9"/>
      <c r="B1108" s="103">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ht="13" x14ac:dyDescent="0.3">
      <c r="A1109" s="1" t="s">
        <v>147</v>
      </c>
      <c r="B1109" s="103">
        <f>IF(AND('AES Indiana Bill Calc.'!$D$17="HL4",'AES Indiana Bill Calc.'!$D$18="No",'AES Indiana Bill Calc.'!$D$20="Yes Before 2018"),'AES Indiana Bill Calc.'!$D$19,-1)</f>
        <v>-1</v>
      </c>
      <c r="C1109" s="103">
        <f>MAX(E1109,$C$769)</f>
        <v>2000</v>
      </c>
      <c r="D1109" s="103" t="b">
        <f>IF(AND('AES Indiana Bill Calc.'!$D$17="HL4",'AES Indiana Bill Calc.'!$D$18="No",'AES Indiana Bill Calc.'!$D$20="Yes Before 2018"),'AES Indiana Bill Calc.'!$D$22)</f>
        <v>0</v>
      </c>
      <c r="E1109" s="103" t="b">
        <f>IF(AND('AES Indiana Bill Calc.'!$D$17="HL4",'AES Indiana Bill Calc.'!$D$18="No",'AES Indiana Bill Calc.'!$D$20="Yes Before 2018"),'AES Indiana Bill Calc.'!$D$21)</f>
        <v>0</v>
      </c>
      <c r="F1109" s="36" t="s">
        <v>255</v>
      </c>
      <c r="G1109" s="92"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0.01</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ht="13" x14ac:dyDescent="0.3">
      <c r="B1110" s="103">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ht="13" x14ac:dyDescent="0.3">
      <c r="A1111" s="1" t="s">
        <v>148</v>
      </c>
      <c r="B1111" s="103">
        <f>IF(AND('AES Indiana Bill Calc.'!$D$17="HL4",'AES Indiana Bill Calc.'!$D$18="Yes 100%",'AES Indiana Bill Calc.'!$D$20="Yes 2018"),'AES Indiana Bill Calc.'!$D$19,-1)</f>
        <v>-1</v>
      </c>
      <c r="C1111" s="103">
        <f>MAX(E1111,$C$769)</f>
        <v>2000</v>
      </c>
      <c r="D1111" s="103" t="b">
        <f>IF(AND('AES Indiana Bill Calc.'!$D$17="HL4",'AES Indiana Bill Calc.'!$D$18="Yes 100%",'AES Indiana Bill Calc.'!$D$20="Yes 2018"),'AES Indiana Bill Calc.'!$D$22)</f>
        <v>0</v>
      </c>
      <c r="E1111" s="103" t="b">
        <f>IF(AND('AES Indiana Bill Calc.'!$D$17="HL4",'AES Indiana Bill Calc.'!$D$18="Yes 100%",'AES Indiana Bill Calc.'!$D$20="Yes 2018"),'AES Indiana Bill Calc.'!$D$21)</f>
        <v>0</v>
      </c>
      <c r="F1111" s="36" t="s">
        <v>256</v>
      </c>
      <c r="G1111" s="92"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0.01</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ht="13" x14ac:dyDescent="0.3">
      <c r="A1112" s="48"/>
      <c r="B1112" s="103">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ht="13" x14ac:dyDescent="0.3">
      <c r="A1113" s="1" t="s">
        <v>149</v>
      </c>
      <c r="B1113" s="103">
        <f>IF(AND('AES Indiana Bill Calc.'!$D$17="HL4",'AES Indiana Bill Calc.'!$D$18="Yes 50%",'AES Indiana Bill Calc.'!$D$20="Yes 2018"),'AES Indiana Bill Calc.'!$D$19,-1)</f>
        <v>-1</v>
      </c>
      <c r="C1113" s="103">
        <f>MAX(E1113,$C$769)</f>
        <v>2000</v>
      </c>
      <c r="D1113" s="103" t="b">
        <f>IF(AND('AES Indiana Bill Calc.'!$D$17="HL4",'AES Indiana Bill Calc.'!$D$18="Yes 50%",'AES Indiana Bill Calc.'!$D$20="Yes 2018"),'AES Indiana Bill Calc.'!$D$22)</f>
        <v>0</v>
      </c>
      <c r="E1113" s="103" t="b">
        <f>IF(AND('AES Indiana Bill Calc.'!$D$17="HL4",'AES Indiana Bill Calc.'!$D$18="Yes 50%",'AES Indiana Bill Calc.'!$D$20="Yes 2018"),'AES Indiana Bill Calc.'!$D$21)</f>
        <v>0</v>
      </c>
      <c r="F1113" s="36" t="s">
        <v>256</v>
      </c>
      <c r="G1113" s="92"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0.01</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ht="13" x14ac:dyDescent="0.3">
      <c r="A1114" s="9"/>
      <c r="B1114" s="103">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ht="13" x14ac:dyDescent="0.3">
      <c r="A1115" s="1" t="s">
        <v>150</v>
      </c>
      <c r="B1115" s="103">
        <f>IF(AND('AES Indiana Bill Calc.'!$D$17="HL4",'AES Indiana Bill Calc.'!$D$18="Yes 25%",'AES Indiana Bill Calc.'!$D$20="Yes 2018"),'AES Indiana Bill Calc.'!$D$19,-1)</f>
        <v>-1</v>
      </c>
      <c r="C1115" s="103">
        <f>MAX(E1115,$C$769)</f>
        <v>2000</v>
      </c>
      <c r="D1115" s="103" t="b">
        <f>IF(AND('AES Indiana Bill Calc.'!$D$17="HL4",'AES Indiana Bill Calc.'!$D$18="Yes 25%",'AES Indiana Bill Calc.'!$D$20="Yes 2018"),'AES Indiana Bill Calc.'!$D$22)</f>
        <v>0</v>
      </c>
      <c r="E1115" s="103" t="b">
        <f>IF(AND('AES Indiana Bill Calc.'!$D$17="HL4",'AES Indiana Bill Calc.'!$D$18="Yes 25%",'AES Indiana Bill Calc.'!$D$20="Yes 2018"),'AES Indiana Bill Calc.'!$D$21)</f>
        <v>0</v>
      </c>
      <c r="F1115" s="36" t="s">
        <v>256</v>
      </c>
      <c r="G1115" s="92"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0.01</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ht="13" x14ac:dyDescent="0.3">
      <c r="A1116" s="9"/>
      <c r="B1116" s="103">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ht="13" x14ac:dyDescent="0.3">
      <c r="A1117" s="1" t="s">
        <v>164</v>
      </c>
      <c r="B1117" s="103">
        <f>IF(AND('AES Indiana Bill Calc.'!$D$17="HL4",'AES Indiana Bill Calc.'!$D$18="Yes 10%",'AES Indiana Bill Calc.'!$D$20="Yes 2018"),'AES Indiana Bill Calc.'!$D$19,-1)</f>
        <v>-1</v>
      </c>
      <c r="C1117" s="103">
        <f>MAX(E1117,$C$769)</f>
        <v>2000</v>
      </c>
      <c r="D1117" s="103" t="b">
        <f>IF(AND('AES Indiana Bill Calc.'!$D$17="HL4",'AES Indiana Bill Calc.'!$D$18="Yes 10%",'AES Indiana Bill Calc.'!$D$20="Yes 2018"),'AES Indiana Bill Calc.'!$D$22)</f>
        <v>0</v>
      </c>
      <c r="E1117" s="103" t="b">
        <f>IF(AND('AES Indiana Bill Calc.'!$D$17="HL4",'AES Indiana Bill Calc.'!$D$18="Yes 10%",'AES Indiana Bill Calc.'!$D$20="Yes 2018"),'AES Indiana Bill Calc.'!$D$21)</f>
        <v>0</v>
      </c>
      <c r="F1117" s="36" t="s">
        <v>256</v>
      </c>
      <c r="G1117" s="92"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0.01</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ht="13" x14ac:dyDescent="0.3">
      <c r="A1118" s="9"/>
      <c r="B1118" s="103">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ht="13" x14ac:dyDescent="0.3">
      <c r="A1119" s="1" t="s">
        <v>147</v>
      </c>
      <c r="B1119" s="103">
        <f>IF(AND('AES Indiana Bill Calc.'!$D$17="HL4",'AES Indiana Bill Calc.'!$D$18="No",'AES Indiana Bill Calc.'!$D$20="Yes 2018"),'AES Indiana Bill Calc.'!$D$19,-1)</f>
        <v>-1</v>
      </c>
      <c r="C1119" s="103">
        <f>MAX(E1119,$C$769)</f>
        <v>2000</v>
      </c>
      <c r="D1119" s="103" t="b">
        <f>IF(AND('AES Indiana Bill Calc.'!$D$17="HL4",'AES Indiana Bill Calc.'!$D$18="No",'AES Indiana Bill Calc.'!$D$20="Yes 2018"),'AES Indiana Bill Calc.'!$D$22)</f>
        <v>0</v>
      </c>
      <c r="E1119" s="103" t="b">
        <f>IF(AND('AES Indiana Bill Calc.'!$D$17="HL4",'AES Indiana Bill Calc.'!$D$18="No",'AES Indiana Bill Calc.'!$D$20="Yes 2018"),'AES Indiana Bill Calc.'!$D$21)</f>
        <v>0</v>
      </c>
      <c r="F1119" s="36" t="s">
        <v>256</v>
      </c>
      <c r="G1119" s="92"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0.01</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ht="13" x14ac:dyDescent="0.3">
      <c r="B1120" s="103">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ht="13" x14ac:dyDescent="0.3">
      <c r="A1121" s="1" t="s">
        <v>148</v>
      </c>
      <c r="B1121" s="103">
        <f>IF(AND('AES Indiana Bill Calc.'!$D$17="HL4",'AES Indiana Bill Calc.'!$D$18="Yes 100%",'AES Indiana Bill Calc.'!$D$20="Yes 2019"),'AES Indiana Bill Calc.'!$D$19,-1)</f>
        <v>-1</v>
      </c>
      <c r="C1121" s="103">
        <f>MAX(E1121,$C$769)</f>
        <v>2000</v>
      </c>
      <c r="D1121" s="103" t="b">
        <f>IF(AND('AES Indiana Bill Calc.'!$D$17="HL4",'AES Indiana Bill Calc.'!$D$18="Yes 100%",'AES Indiana Bill Calc.'!$D$20="Yes 2019"),'AES Indiana Bill Calc.'!$D$22)</f>
        <v>0</v>
      </c>
      <c r="E1121" s="103" t="b">
        <f>IF(AND('AES Indiana Bill Calc.'!$D$17="HL4",'AES Indiana Bill Calc.'!$D$18="Yes 100%",'AES Indiana Bill Calc.'!$D$20="Yes 2019"),'AES Indiana Bill Calc.'!$D$21)</f>
        <v>0</v>
      </c>
      <c r="F1121" s="36" t="s">
        <v>257</v>
      </c>
      <c r="G1121" s="92"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0.01</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ht="13" x14ac:dyDescent="0.3">
      <c r="A1122" s="48"/>
      <c r="B1122" s="103">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ht="13" x14ac:dyDescent="0.3">
      <c r="A1123" s="1" t="s">
        <v>149</v>
      </c>
      <c r="B1123" s="103">
        <f>IF(AND('AES Indiana Bill Calc.'!$D$17="HL4",'AES Indiana Bill Calc.'!$D$18="Yes 50%",'AES Indiana Bill Calc.'!$D$20="Yes 2019"),'AES Indiana Bill Calc.'!$D$19,-1)</f>
        <v>-1</v>
      </c>
      <c r="C1123" s="103">
        <f>MAX(E1123,$C$769)</f>
        <v>2000</v>
      </c>
      <c r="D1123" s="103" t="b">
        <f>IF(AND('AES Indiana Bill Calc.'!$D$17="HL4",'AES Indiana Bill Calc.'!$D$18="Yes 50%",'AES Indiana Bill Calc.'!$D$20="Yes 2019"),'AES Indiana Bill Calc.'!$D$22)</f>
        <v>0</v>
      </c>
      <c r="E1123" s="103" t="b">
        <f>IF(AND('AES Indiana Bill Calc.'!$D$17="HL4",'AES Indiana Bill Calc.'!$D$18="Yes 50%",'AES Indiana Bill Calc.'!$D$20="Yes 2019"),'AES Indiana Bill Calc.'!$D$21)</f>
        <v>0</v>
      </c>
      <c r="F1123" s="36" t="s">
        <v>257</v>
      </c>
      <c r="G1123" s="92"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0.01</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1.0209999999999998E-3</v>
      </c>
      <c r="AC1123" s="67" t="str">
        <f>+F1123</f>
        <v>HL49</v>
      </c>
    </row>
    <row r="1124" spans="1:29" ht="13" x14ac:dyDescent="0.3">
      <c r="A1124" s="9"/>
      <c r="B1124" s="103">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ht="13" x14ac:dyDescent="0.3">
      <c r="A1125" s="1" t="s">
        <v>150</v>
      </c>
      <c r="B1125" s="103">
        <f>IF(AND('AES Indiana Bill Calc.'!$D$17="HL4",'AES Indiana Bill Calc.'!$D$18="Yes 25%",'AES Indiana Bill Calc.'!$D$20="Yes 2019"),'AES Indiana Bill Calc.'!$D$19,-1)</f>
        <v>-1</v>
      </c>
      <c r="C1125" s="103">
        <f>MAX(E1125,$C$769)</f>
        <v>2000</v>
      </c>
      <c r="D1125" s="103" t="b">
        <f>IF(AND('AES Indiana Bill Calc.'!$D$17="HL4",'AES Indiana Bill Calc.'!$D$18="Yes 25%",'AES Indiana Bill Calc.'!$D$20="Yes 2019"),'AES Indiana Bill Calc.'!$D$22)</f>
        <v>0</v>
      </c>
      <c r="E1125" s="103" t="b">
        <f>IF(AND('AES Indiana Bill Calc.'!$D$17="HL4",'AES Indiana Bill Calc.'!$D$18="Yes 25%",'AES Indiana Bill Calc.'!$D$20="Yes 2019"),'AES Indiana Bill Calc.'!$D$21)</f>
        <v>0</v>
      </c>
      <c r="F1125" s="36" t="s">
        <v>257</v>
      </c>
      <c r="G1125" s="92"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0.01</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ht="13" x14ac:dyDescent="0.3">
      <c r="A1126" s="9"/>
      <c r="B1126" s="103">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ht="13" x14ac:dyDescent="0.3">
      <c r="A1127" s="1" t="s">
        <v>164</v>
      </c>
      <c r="B1127" s="103">
        <f>IF(AND('AES Indiana Bill Calc.'!$D$17="HL4",'AES Indiana Bill Calc.'!$D$18="Yes 10%",'AES Indiana Bill Calc.'!$D$20="Yes 2019"),'AES Indiana Bill Calc.'!$D$19,-1)</f>
        <v>-1</v>
      </c>
      <c r="C1127" s="103">
        <f>MAX(E1127,$C$769)</f>
        <v>2000</v>
      </c>
      <c r="D1127" s="103" t="b">
        <f>IF(AND('AES Indiana Bill Calc.'!$D$17="HL4",'AES Indiana Bill Calc.'!$D$18="Yes 10%",'AES Indiana Bill Calc.'!$D$20="Yes 2019"),'AES Indiana Bill Calc.'!$D$22)</f>
        <v>0</v>
      </c>
      <c r="E1127" s="103" t="b">
        <f>IF(AND('AES Indiana Bill Calc.'!$D$17="HL4",'AES Indiana Bill Calc.'!$D$18="Yes 10%",'AES Indiana Bill Calc.'!$D$20="Yes 2019"),'AES Indiana Bill Calc.'!$D$21)</f>
        <v>0</v>
      </c>
      <c r="F1127" s="36" t="s">
        <v>257</v>
      </c>
      <c r="G1127" s="92"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0.01</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ht="13" x14ac:dyDescent="0.3">
      <c r="A1128" s="9"/>
      <c r="B1128" s="103">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ht="13" x14ac:dyDescent="0.3">
      <c r="A1129" s="1" t="s">
        <v>147</v>
      </c>
      <c r="B1129" s="103">
        <f>IF(AND('AES Indiana Bill Calc.'!$D$17="HL4",'AES Indiana Bill Calc.'!$D$18="No",'AES Indiana Bill Calc.'!$D$20="Yes 2019"),'AES Indiana Bill Calc.'!$D$19,-1)</f>
        <v>-1</v>
      </c>
      <c r="C1129" s="103">
        <f>MAX(E1129,$C$769)</f>
        <v>2000</v>
      </c>
      <c r="D1129" s="103" t="b">
        <f>IF(AND('AES Indiana Bill Calc.'!$D$17="HL4",'AES Indiana Bill Calc.'!$D$18="No",'AES Indiana Bill Calc.'!$D$20="Yes 2019"),'AES Indiana Bill Calc.'!$D$22)</f>
        <v>0</v>
      </c>
      <c r="E1129" s="103" t="b">
        <f>IF(AND('AES Indiana Bill Calc.'!$D$17="HL4",'AES Indiana Bill Calc.'!$D$18="No",'AES Indiana Bill Calc.'!$D$20="Yes 2019"),'AES Indiana Bill Calc.'!$D$21)</f>
        <v>0</v>
      </c>
      <c r="F1129" s="36" t="s">
        <v>257</v>
      </c>
      <c r="G1129" s="92"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0.01</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ht="13" x14ac:dyDescent="0.3">
      <c r="B1130" s="103">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ht="13" x14ac:dyDescent="0.3">
      <c r="A1131" s="1" t="s">
        <v>148</v>
      </c>
      <c r="B1131" s="103">
        <f>IF(AND('AES Indiana Bill Calc.'!$D$17="HL4",'AES Indiana Bill Calc.'!$D$18="Yes 100%",'AES Indiana Bill Calc.'!$D$20="Yes 2020"),'AES Indiana Bill Calc.'!$D$19,-1)</f>
        <v>-1</v>
      </c>
      <c r="C1131" s="103">
        <f>MAX(E1131,$C$769)</f>
        <v>2000</v>
      </c>
      <c r="D1131" s="103" t="b">
        <f>IF(AND('AES Indiana Bill Calc.'!$D$17="HL4",'AES Indiana Bill Calc.'!$D$18="Yes 100%",'AES Indiana Bill Calc.'!$D$20="Yes 2020"),'AES Indiana Bill Calc.'!$D$22)</f>
        <v>0</v>
      </c>
      <c r="E1131" s="103" t="b">
        <f>IF(AND('AES Indiana Bill Calc.'!$D$17="HL4",'AES Indiana Bill Calc.'!$D$18="Yes 100%",'AES Indiana Bill Calc.'!$D$20="Yes 2020"),'AES Indiana Bill Calc.'!$D$21)</f>
        <v>0</v>
      </c>
      <c r="F1131" s="36" t="s">
        <v>258</v>
      </c>
      <c r="G1131" s="92"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0.01</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ht="13" x14ac:dyDescent="0.3">
      <c r="A1132" s="48"/>
      <c r="B1132" s="103">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ht="13" x14ac:dyDescent="0.3">
      <c r="A1133" s="1" t="s">
        <v>149</v>
      </c>
      <c r="B1133" s="103">
        <f>IF(AND('AES Indiana Bill Calc.'!$D$17="HL4",'AES Indiana Bill Calc.'!$D$18="Yes 50%",'AES Indiana Bill Calc.'!$D$20="Yes 2020"),'AES Indiana Bill Calc.'!$D$19,-1)</f>
        <v>-1</v>
      </c>
      <c r="C1133" s="103">
        <f>MAX(E1133,$C$769)</f>
        <v>2000</v>
      </c>
      <c r="D1133" s="103" t="b">
        <f>IF(AND('AES Indiana Bill Calc.'!$D$17="HL4",'AES Indiana Bill Calc.'!$D$18="Yes 50%",'AES Indiana Bill Calc.'!$D$20="Yes 2020"),'AES Indiana Bill Calc.'!$D$22)</f>
        <v>0</v>
      </c>
      <c r="E1133" s="103" t="b">
        <f>IF(AND('AES Indiana Bill Calc.'!$D$17="HL4",'AES Indiana Bill Calc.'!$D$18="Yes 50%",'AES Indiana Bill Calc.'!$D$20="Yes 2020"),'AES Indiana Bill Calc.'!$D$21)</f>
        <v>0</v>
      </c>
      <c r="F1133" s="36" t="s">
        <v>258</v>
      </c>
      <c r="G1133" s="92"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0.01</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ht="13" x14ac:dyDescent="0.3">
      <c r="A1134" s="9"/>
      <c r="B1134" s="103">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ht="13" x14ac:dyDescent="0.3">
      <c r="A1135" s="1" t="s">
        <v>150</v>
      </c>
      <c r="B1135" s="103">
        <f>IF(AND('AES Indiana Bill Calc.'!$D$17="HL4",'AES Indiana Bill Calc.'!$D$18="Yes 25%",'AES Indiana Bill Calc.'!$D$20="Yes 2020"),'AES Indiana Bill Calc.'!$D$19,-1)</f>
        <v>-1</v>
      </c>
      <c r="C1135" s="103">
        <f>MAX(E1135,$C$769)</f>
        <v>2000</v>
      </c>
      <c r="D1135" s="103" t="b">
        <f>IF(AND('AES Indiana Bill Calc.'!$D$17="HL4",'AES Indiana Bill Calc.'!$D$18="Yes 25%",'AES Indiana Bill Calc.'!$D$20="Yes 2020"),'AES Indiana Bill Calc.'!$D$22)</f>
        <v>0</v>
      </c>
      <c r="E1135" s="103" t="b">
        <f>IF(AND('AES Indiana Bill Calc.'!$D$17="HL4",'AES Indiana Bill Calc.'!$D$18="Yes 25%",'AES Indiana Bill Calc.'!$D$20="Yes 2020"),'AES Indiana Bill Calc.'!$D$21)</f>
        <v>0</v>
      </c>
      <c r="F1135" s="36" t="s">
        <v>258</v>
      </c>
      <c r="G1135" s="92"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0.01</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ht="13" x14ac:dyDescent="0.3">
      <c r="A1136" s="9"/>
      <c r="B1136" s="103">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ht="13" x14ac:dyDescent="0.3">
      <c r="A1137" s="1" t="s">
        <v>164</v>
      </c>
      <c r="B1137" s="103">
        <f>IF(AND('AES Indiana Bill Calc.'!$D$17="HL4",'AES Indiana Bill Calc.'!$D$18="Yes 10%",'AES Indiana Bill Calc.'!$D$20="Yes 2020"),'AES Indiana Bill Calc.'!$D$19,-1)</f>
        <v>-1</v>
      </c>
      <c r="C1137" s="103">
        <f>MAX(E1137,$C$769)</f>
        <v>2000</v>
      </c>
      <c r="D1137" s="103" t="b">
        <f>IF(AND('AES Indiana Bill Calc.'!$D$17="HL4",'AES Indiana Bill Calc.'!$D$18="Yes 10%",'AES Indiana Bill Calc.'!$D$20="Yes 2020"),'AES Indiana Bill Calc.'!$D$22)</f>
        <v>0</v>
      </c>
      <c r="E1137" s="103" t="b">
        <f>IF(AND('AES Indiana Bill Calc.'!$D$17="HL4",'AES Indiana Bill Calc.'!$D$18="Yes 10%",'AES Indiana Bill Calc.'!$D$20="Yes 2020"),'AES Indiana Bill Calc.'!$D$21)</f>
        <v>0</v>
      </c>
      <c r="F1137" s="36" t="s">
        <v>258</v>
      </c>
      <c r="G1137" s="92"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0.01</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ht="13" x14ac:dyDescent="0.3">
      <c r="A1138" s="9"/>
      <c r="B1138" s="103">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ht="13" x14ac:dyDescent="0.3">
      <c r="A1139" s="1" t="s">
        <v>147</v>
      </c>
      <c r="B1139" s="103">
        <f>IF(AND('AES Indiana Bill Calc.'!$D$17="HL4",'AES Indiana Bill Calc.'!$D$18="No",'AES Indiana Bill Calc.'!$D$20="Yes 2020"),'AES Indiana Bill Calc.'!$D$19,-1)</f>
        <v>-1</v>
      </c>
      <c r="C1139" s="103">
        <f>MAX(E1139,$C$769)</f>
        <v>2000</v>
      </c>
      <c r="D1139" s="103" t="b">
        <f>IF(AND('AES Indiana Bill Calc.'!$D$17="HL4",'AES Indiana Bill Calc.'!$D$18="No",'AES Indiana Bill Calc.'!$D$20="Yes 2020"),'AES Indiana Bill Calc.'!$D$22)</f>
        <v>0</v>
      </c>
      <c r="E1139" s="103" t="b">
        <f>IF(AND('AES Indiana Bill Calc.'!$D$17="HL4",'AES Indiana Bill Calc.'!$D$18="No",'AES Indiana Bill Calc.'!$D$20="Yes 2020"),'AES Indiana Bill Calc.'!$D$21)</f>
        <v>0</v>
      </c>
      <c r="F1139" s="36" t="s">
        <v>258</v>
      </c>
      <c r="G1139" s="92"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0.01</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ht="13" x14ac:dyDescent="0.3">
      <c r="B1140" s="103">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ht="13" x14ac:dyDescent="0.3">
      <c r="A1141" s="1" t="s">
        <v>148</v>
      </c>
      <c r="B1141" s="103">
        <f>IF(AND('AES Indiana Bill Calc.'!$D$17="HL4",'AES Indiana Bill Calc.'!$D$18="Yes 100%",'AES Indiana Bill Calc.'!$D$20="Yes 2021"),'AES Indiana Bill Calc.'!$D$19,-1)</f>
        <v>-1</v>
      </c>
      <c r="C1141" s="103">
        <f>MAX(E1141,$C$769)</f>
        <v>2000</v>
      </c>
      <c r="D1141" s="103" t="b">
        <f>IF(AND('AES Indiana Bill Calc.'!$D$17="HL4",'AES Indiana Bill Calc.'!$D$18="Yes 100%",'AES Indiana Bill Calc.'!$D$20="Yes 2021"),'AES Indiana Bill Calc.'!$D$22)</f>
        <v>0</v>
      </c>
      <c r="E1141" s="103" t="b">
        <f>IF(AND('AES Indiana Bill Calc.'!$D$17="HL4",'AES Indiana Bill Calc.'!$D$18="Yes 100%",'AES Indiana Bill Calc.'!$D$20="Yes 2021"),'AES Indiana Bill Calc.'!$D$21)</f>
        <v>0</v>
      </c>
      <c r="F1141" s="36" t="s">
        <v>259</v>
      </c>
      <c r="G1141" s="92"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0.01</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ht="13" x14ac:dyDescent="0.3">
      <c r="A1142" s="48"/>
      <c r="B1142" s="103">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ht="13" x14ac:dyDescent="0.3">
      <c r="A1143" s="1" t="s">
        <v>149</v>
      </c>
      <c r="B1143" s="103">
        <f>IF(AND('AES Indiana Bill Calc.'!$D$17="HL4",'AES Indiana Bill Calc.'!$D$18="Yes 50%",'AES Indiana Bill Calc.'!$D$20="Yes 2021"),'AES Indiana Bill Calc.'!$D$19,-1)</f>
        <v>-1</v>
      </c>
      <c r="C1143" s="103">
        <f>MAX(E1143,$C$769)</f>
        <v>2000</v>
      </c>
      <c r="D1143" s="103" t="b">
        <f>IF(AND('AES Indiana Bill Calc.'!$D$17="HL4",'AES Indiana Bill Calc.'!$D$18="Yes 50%",'AES Indiana Bill Calc.'!$D$20="Yes 2021"),'AES Indiana Bill Calc.'!$D$22)</f>
        <v>0</v>
      </c>
      <c r="E1143" s="103" t="b">
        <f>IF(AND('AES Indiana Bill Calc.'!$D$17="HL4",'AES Indiana Bill Calc.'!$D$18="Yes 50%",'AES Indiana Bill Calc.'!$D$20="Yes 2021"),'AES Indiana Bill Calc.'!$D$21)</f>
        <v>0</v>
      </c>
      <c r="F1143" s="36" t="s">
        <v>259</v>
      </c>
      <c r="G1143" s="92"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0.01</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ht="13" x14ac:dyDescent="0.3">
      <c r="A1144" s="9"/>
      <c r="B1144" s="103">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ht="13" x14ac:dyDescent="0.3">
      <c r="A1145" s="1" t="s">
        <v>150</v>
      </c>
      <c r="B1145" s="103">
        <f>IF(AND('AES Indiana Bill Calc.'!$D$17="HL4",'AES Indiana Bill Calc.'!$D$18="Yes 25%",'AES Indiana Bill Calc.'!$D$20="Yes 2021"),'AES Indiana Bill Calc.'!$D$19,-1)</f>
        <v>-1</v>
      </c>
      <c r="C1145" s="103">
        <f>MAX(E1145,$C$769)</f>
        <v>2000</v>
      </c>
      <c r="D1145" s="103" t="b">
        <f>IF(AND('AES Indiana Bill Calc.'!$D$17="HL4",'AES Indiana Bill Calc.'!$D$18="Yes 25%",'AES Indiana Bill Calc.'!$D$20="Yes 2021"),'AES Indiana Bill Calc.'!$D$22)</f>
        <v>0</v>
      </c>
      <c r="E1145" s="103" t="b">
        <f>IF(AND('AES Indiana Bill Calc.'!$D$17="HL4",'AES Indiana Bill Calc.'!$D$18="Yes 25%",'AES Indiana Bill Calc.'!$D$20="Yes 2021"),'AES Indiana Bill Calc.'!$D$21)</f>
        <v>0</v>
      </c>
      <c r="F1145" s="36" t="s">
        <v>259</v>
      </c>
      <c r="G1145" s="92"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0.01</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ht="13" x14ac:dyDescent="0.3">
      <c r="A1146" s="9"/>
      <c r="B1146" s="103">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ht="13" x14ac:dyDescent="0.3">
      <c r="A1147" s="1" t="s">
        <v>164</v>
      </c>
      <c r="B1147" s="103">
        <f>IF(AND('AES Indiana Bill Calc.'!$D$17="HL4",'AES Indiana Bill Calc.'!$D$18="Yes 10%",'AES Indiana Bill Calc.'!$D$20="Yes 2021"),'AES Indiana Bill Calc.'!$D$19,-1)</f>
        <v>-1</v>
      </c>
      <c r="C1147" s="103">
        <f>MAX(E1147,$C$769)</f>
        <v>2000</v>
      </c>
      <c r="D1147" s="103" t="b">
        <f>IF(AND('AES Indiana Bill Calc.'!$D$17="HL4",'AES Indiana Bill Calc.'!$D$18="Yes 10%",'AES Indiana Bill Calc.'!$D$20="Yes 2021"),'AES Indiana Bill Calc.'!$D$22)</f>
        <v>0</v>
      </c>
      <c r="E1147" s="103" t="b">
        <f>IF(AND('AES Indiana Bill Calc.'!$D$17="HL4",'AES Indiana Bill Calc.'!$D$18="Yes 10%",'AES Indiana Bill Calc.'!$D$20="Yes 2021"),'AES Indiana Bill Calc.'!$D$21)</f>
        <v>0</v>
      </c>
      <c r="F1147" s="36" t="s">
        <v>259</v>
      </c>
      <c r="G1147" s="92"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0.01</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ht="13" x14ac:dyDescent="0.3">
      <c r="A1148" s="9"/>
      <c r="B1148" s="103">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ht="13" x14ac:dyDescent="0.3">
      <c r="A1149" s="1" t="s">
        <v>147</v>
      </c>
      <c r="B1149" s="103">
        <f>IF(AND('AES Indiana Bill Calc.'!$D$17="HL4",'AES Indiana Bill Calc.'!$D$18="No",'AES Indiana Bill Calc.'!$D$20="Yes 2021"),'AES Indiana Bill Calc.'!$D$19,-1)</f>
        <v>-1</v>
      </c>
      <c r="C1149" s="103">
        <f>MAX(E1149,$C$769)</f>
        <v>2000</v>
      </c>
      <c r="D1149" s="103" t="b">
        <f>IF(AND('AES Indiana Bill Calc.'!$D$17="HL4",'AES Indiana Bill Calc.'!$D$18="No",'AES Indiana Bill Calc.'!$D$20="Yes 2021"),'AES Indiana Bill Calc.'!$D$22)</f>
        <v>0</v>
      </c>
      <c r="E1149" s="103" t="b">
        <f>IF(AND('AES Indiana Bill Calc.'!$D$17="HL4",'AES Indiana Bill Calc.'!$D$18="No",'AES Indiana Bill Calc.'!$D$20="Yes 2021"),'AES Indiana Bill Calc.'!$D$21)</f>
        <v>0</v>
      </c>
      <c r="F1149" s="36" t="s">
        <v>259</v>
      </c>
      <c r="G1149" s="92"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0.01</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35">
      <c r="A1150"/>
      <c r="B1150" s="103">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ht="13" x14ac:dyDescent="0.3">
      <c r="A1151" s="1" t="s">
        <v>148</v>
      </c>
      <c r="B1151" s="103">
        <f>IF(AND('AES Indiana Bill Calc.'!$D$17="HL4",'AES Indiana Bill Calc.'!$D$18="Yes 100%",'AES Indiana Bill Calc.'!$D$20="Yes 2022"),'AES Indiana Bill Calc.'!$D$19,-1)</f>
        <v>-1</v>
      </c>
      <c r="C1151" s="103">
        <f>MAX(E1151,$C$769)</f>
        <v>2000</v>
      </c>
      <c r="D1151" s="103" t="b">
        <f>IF(AND('AES Indiana Bill Calc.'!$D$17="HL4",'AES Indiana Bill Calc.'!$D$18="Yes 100%",'AES Indiana Bill Calc.'!$D$20="Yes 2022"),'AES Indiana Bill Calc.'!$D$22)</f>
        <v>0</v>
      </c>
      <c r="E1151" s="103" t="b">
        <f>IF(AND('AES Indiana Bill Calc.'!$D$17="HL4",'AES Indiana Bill Calc.'!$D$18="Yes 100%",'AES Indiana Bill Calc.'!$D$20="Yes 2022"),'AES Indiana Bill Calc.'!$D$21)</f>
        <v>0</v>
      </c>
      <c r="F1151" s="36" t="s">
        <v>260</v>
      </c>
      <c r="G1151" s="92"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0.01</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ht="13" x14ac:dyDescent="0.3">
      <c r="A1152" s="48"/>
      <c r="B1152" s="103">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ht="13" x14ac:dyDescent="0.3">
      <c r="A1153" s="1" t="s">
        <v>149</v>
      </c>
      <c r="B1153" s="103">
        <f>IF(AND('AES Indiana Bill Calc.'!$D$17="HL4",'AES Indiana Bill Calc.'!$D$18="Yes 50%",'AES Indiana Bill Calc.'!$D$20="Yes 2022"),'AES Indiana Bill Calc.'!$D$19,-1)</f>
        <v>-1</v>
      </c>
      <c r="C1153" s="103">
        <f>MAX(E1153,$C$769)</f>
        <v>2000</v>
      </c>
      <c r="D1153" s="103" t="b">
        <f>IF(AND('AES Indiana Bill Calc.'!$D$17="HL4",'AES Indiana Bill Calc.'!$D$18="Yes 50%",'AES Indiana Bill Calc.'!$D$20="Yes 2022"),'AES Indiana Bill Calc.'!$D$22)</f>
        <v>0</v>
      </c>
      <c r="E1153" s="103" t="b">
        <f>IF(AND('AES Indiana Bill Calc.'!$D$17="HL4",'AES Indiana Bill Calc.'!$D$18="Yes 50%",'AES Indiana Bill Calc.'!$D$20="Yes 2022"),'AES Indiana Bill Calc.'!$D$21)</f>
        <v>0</v>
      </c>
      <c r="F1153" s="36" t="s">
        <v>260</v>
      </c>
      <c r="G1153" s="92"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0.01</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ht="13" x14ac:dyDescent="0.3">
      <c r="A1154" s="9"/>
      <c r="B1154" s="103">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ht="13" x14ac:dyDescent="0.3">
      <c r="A1155" s="1" t="s">
        <v>150</v>
      </c>
      <c r="B1155" s="103">
        <f>IF(AND('AES Indiana Bill Calc.'!$D$17="HL4",'AES Indiana Bill Calc.'!$D$18="Yes 25%",'AES Indiana Bill Calc.'!$D$20="Yes 2022"),'AES Indiana Bill Calc.'!$D$19,-1)</f>
        <v>-1</v>
      </c>
      <c r="C1155" s="103">
        <f>MAX(E1155,$C$769)</f>
        <v>2000</v>
      </c>
      <c r="D1155" s="103" t="b">
        <f>IF(AND('AES Indiana Bill Calc.'!$D$17="HL4",'AES Indiana Bill Calc.'!$D$18="Yes 25%",'AES Indiana Bill Calc.'!$D$20="Yes 2022"),'AES Indiana Bill Calc.'!$D$22)</f>
        <v>0</v>
      </c>
      <c r="E1155" s="103" t="b">
        <f>IF(AND('AES Indiana Bill Calc.'!$D$17="HL4",'AES Indiana Bill Calc.'!$D$18="Yes 25%",'AES Indiana Bill Calc.'!$D$20="Yes 2022"),'AES Indiana Bill Calc.'!$D$21)</f>
        <v>0</v>
      </c>
      <c r="F1155" s="36" t="s">
        <v>260</v>
      </c>
      <c r="G1155" s="92"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0.01</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ht="13" x14ac:dyDescent="0.3">
      <c r="A1156" s="9"/>
      <c r="B1156" s="103">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ht="13" x14ac:dyDescent="0.3">
      <c r="A1157" s="1" t="s">
        <v>164</v>
      </c>
      <c r="B1157" s="103">
        <f>IF(AND('AES Indiana Bill Calc.'!$D$17="HL4",'AES Indiana Bill Calc.'!$D$18="Yes 10%",'AES Indiana Bill Calc.'!$D$20="Yes 2022"),'AES Indiana Bill Calc.'!$D$19,-1)</f>
        <v>-1</v>
      </c>
      <c r="C1157" s="103">
        <f>MAX(E1157,$C$769)</f>
        <v>2000</v>
      </c>
      <c r="D1157" s="103" t="b">
        <f>IF(AND('AES Indiana Bill Calc.'!$D$17="HL4",'AES Indiana Bill Calc.'!$D$18="Yes 10%",'AES Indiana Bill Calc.'!$D$20="Yes 2022"),'AES Indiana Bill Calc.'!$D$22)</f>
        <v>0</v>
      </c>
      <c r="E1157" s="103" t="b">
        <f>IF(AND('AES Indiana Bill Calc.'!$D$17="HL4",'AES Indiana Bill Calc.'!$D$18="Yes 10%",'AES Indiana Bill Calc.'!$D$20="Yes 2022"),'AES Indiana Bill Calc.'!$D$21)</f>
        <v>0</v>
      </c>
      <c r="F1157" s="36" t="s">
        <v>260</v>
      </c>
      <c r="G1157" s="92"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0.01</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ht="13" x14ac:dyDescent="0.3">
      <c r="A1158" s="9"/>
      <c r="B1158" s="103">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ht="13" x14ac:dyDescent="0.3">
      <c r="A1159" s="1" t="s">
        <v>147</v>
      </c>
      <c r="B1159" s="103">
        <f>IF(AND('AES Indiana Bill Calc.'!$D$17="HL4",'AES Indiana Bill Calc.'!$D$18="No",'AES Indiana Bill Calc.'!$D$20="Yes 2022"),'AES Indiana Bill Calc.'!$D$19,-1)</f>
        <v>-1</v>
      </c>
      <c r="C1159" s="103">
        <f>MAX(E1159,$C$769)</f>
        <v>2000</v>
      </c>
      <c r="D1159" s="103" t="b">
        <f>IF(AND('AES Indiana Bill Calc.'!$D$17="HL4",'AES Indiana Bill Calc.'!$D$18="No",'AES Indiana Bill Calc.'!$D$20="Yes 2022"),'AES Indiana Bill Calc.'!$D$22)</f>
        <v>0</v>
      </c>
      <c r="E1159" s="103" t="b">
        <f>IF(AND('AES Indiana Bill Calc.'!$D$17="HL4",'AES Indiana Bill Calc.'!$D$18="No",'AES Indiana Bill Calc.'!$D$20="Yes 2022"),'AES Indiana Bill Calc.'!$D$21)</f>
        <v>0</v>
      </c>
      <c r="F1159" s="36" t="s">
        <v>260</v>
      </c>
      <c r="G1159" s="92"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0.01</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ht="13" x14ac:dyDescent="0.3">
      <c r="B1160" s="103">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ht="13" x14ac:dyDescent="0.3">
      <c r="A1161" s="1" t="s">
        <v>148</v>
      </c>
      <c r="B1161" s="103">
        <f>IF(AND('AES Indiana Bill Calc.'!$D$17="HL4",'AES Indiana Bill Calc.'!$D$18="Yes 100%",'AES Indiana Bill Calc.'!$D$20="Yes 2023"),'AES Indiana Bill Calc.'!$D$19,-1)</f>
        <v>-1</v>
      </c>
      <c r="C1161" s="103">
        <f>MAX(E1161,$C$769)</f>
        <v>2000</v>
      </c>
      <c r="D1161" s="103" t="b">
        <f>IF(AND('AES Indiana Bill Calc.'!$D$17="HL4",'AES Indiana Bill Calc.'!$D$18="Yes 100%",'AES Indiana Bill Calc.'!$D$20="Yes 2023"),'AES Indiana Bill Calc.'!$D$22)</f>
        <v>0</v>
      </c>
      <c r="E1161" s="103" t="b">
        <f>IF(AND('AES Indiana Bill Calc.'!$D$17="HL4",'AES Indiana Bill Calc.'!$D$18="Yes 100%",'AES Indiana Bill Calc.'!$D$20="Yes 2023"),'AES Indiana Bill Calc.'!$D$21)</f>
        <v>0</v>
      </c>
      <c r="F1161" s="36" t="s">
        <v>261</v>
      </c>
      <c r="G1161" s="92"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0.01</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ht="13" x14ac:dyDescent="0.3">
      <c r="A1162" s="48"/>
      <c r="B1162" s="103">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ht="13" x14ac:dyDescent="0.3">
      <c r="A1163" s="1" t="s">
        <v>149</v>
      </c>
      <c r="B1163" s="103">
        <f>IF(AND('AES Indiana Bill Calc.'!$D$17="HL4",'AES Indiana Bill Calc.'!$D$18="Yes 50%",'AES Indiana Bill Calc.'!$D$20="Yes 2023"),'AES Indiana Bill Calc.'!$D$19,-1)</f>
        <v>-1</v>
      </c>
      <c r="C1163" s="103">
        <f>MAX(E1163,$C$769)</f>
        <v>2000</v>
      </c>
      <c r="D1163" s="103" t="b">
        <f>IF(AND('AES Indiana Bill Calc.'!$D$17="HL4",'AES Indiana Bill Calc.'!$D$18="Yes 50%",'AES Indiana Bill Calc.'!$D$20="Yes 2023"),'AES Indiana Bill Calc.'!$D$22)</f>
        <v>0</v>
      </c>
      <c r="E1163" s="103" t="b">
        <f>IF(AND('AES Indiana Bill Calc.'!$D$17="HL4",'AES Indiana Bill Calc.'!$D$18="Yes 50%",'AES Indiana Bill Calc.'!$D$20="Yes 2023"),'AES Indiana Bill Calc.'!$D$21)</f>
        <v>0</v>
      </c>
      <c r="F1163" s="36" t="s">
        <v>261</v>
      </c>
      <c r="G1163" s="92"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0.01</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ht="13" x14ac:dyDescent="0.3">
      <c r="A1164" s="9"/>
      <c r="B1164" s="103">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ht="13" x14ac:dyDescent="0.3">
      <c r="A1165" s="1" t="s">
        <v>150</v>
      </c>
      <c r="B1165" s="103">
        <f>IF(AND('AES Indiana Bill Calc.'!$D$17="HL4",'AES Indiana Bill Calc.'!$D$18="Yes 25%",'AES Indiana Bill Calc.'!$D$20="Yes 2023"),'AES Indiana Bill Calc.'!$D$19,-1)</f>
        <v>-1</v>
      </c>
      <c r="C1165" s="103">
        <f>MAX(E1165,$C$769)</f>
        <v>2000</v>
      </c>
      <c r="D1165" s="103" t="b">
        <f>IF(AND('AES Indiana Bill Calc.'!$D$17="HL4",'AES Indiana Bill Calc.'!$D$18="Yes 25%",'AES Indiana Bill Calc.'!$D$20="Yes 2023"),'AES Indiana Bill Calc.'!$D$22)</f>
        <v>0</v>
      </c>
      <c r="E1165" s="103" t="b">
        <f>IF(AND('AES Indiana Bill Calc.'!$D$17="HL4",'AES Indiana Bill Calc.'!$D$18="Yes 25%",'AES Indiana Bill Calc.'!$D$20="Yes 2023"),'AES Indiana Bill Calc.'!$D$21)</f>
        <v>0</v>
      </c>
      <c r="F1165" s="36" t="s">
        <v>261</v>
      </c>
      <c r="G1165" s="92"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0.01</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ht="13" x14ac:dyDescent="0.3">
      <c r="A1166" s="9"/>
      <c r="B1166" s="103">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ht="13" x14ac:dyDescent="0.3">
      <c r="A1167" s="1" t="s">
        <v>164</v>
      </c>
      <c r="B1167" s="103">
        <f>IF(AND('AES Indiana Bill Calc.'!$D$17="HL4",'AES Indiana Bill Calc.'!$D$18="Yes 10%",'AES Indiana Bill Calc.'!$D$20="Yes 2023"),'AES Indiana Bill Calc.'!$D$19,-1)</f>
        <v>-1</v>
      </c>
      <c r="C1167" s="103">
        <f>MAX(E1167,$C$769)</f>
        <v>2000</v>
      </c>
      <c r="D1167" s="103" t="b">
        <f>IF(AND('AES Indiana Bill Calc.'!$D$17="HL4",'AES Indiana Bill Calc.'!$D$18="Yes 10%",'AES Indiana Bill Calc.'!$D$20="Yes 2023"),'AES Indiana Bill Calc.'!$D$22)</f>
        <v>0</v>
      </c>
      <c r="E1167" s="103" t="b">
        <f>IF(AND('AES Indiana Bill Calc.'!$D$17="HL4",'AES Indiana Bill Calc.'!$D$18="Yes 10%",'AES Indiana Bill Calc.'!$D$20="Yes 2023"),'AES Indiana Bill Calc.'!$D$21)</f>
        <v>0</v>
      </c>
      <c r="F1167" s="36" t="s">
        <v>261</v>
      </c>
      <c r="G1167" s="92"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0.01</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ht="13" x14ac:dyDescent="0.3">
      <c r="A1168" s="9"/>
      <c r="B1168" s="103">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ht="13" x14ac:dyDescent="0.3">
      <c r="A1169" s="1" t="s">
        <v>147</v>
      </c>
      <c r="B1169" s="103">
        <f>IF(AND('AES Indiana Bill Calc.'!$D$17="HL4",'AES Indiana Bill Calc.'!$D$18="No",'AES Indiana Bill Calc.'!$D$20="Yes 2023"),'AES Indiana Bill Calc.'!$D$19,-1)</f>
        <v>-1</v>
      </c>
      <c r="C1169" s="103">
        <f>MAX(E1169,$C$769)</f>
        <v>2000</v>
      </c>
      <c r="D1169" s="103" t="b">
        <f>IF(AND('AES Indiana Bill Calc.'!$D$17="HL4",'AES Indiana Bill Calc.'!$D$18="No",'AES Indiana Bill Calc.'!$D$20="Yes 2023"),'AES Indiana Bill Calc.'!$D$22)</f>
        <v>0</v>
      </c>
      <c r="E1169" s="103" t="b">
        <f>IF(AND('AES Indiana Bill Calc.'!$D$17="HL4",'AES Indiana Bill Calc.'!$D$18="No",'AES Indiana Bill Calc.'!$D$20="Yes 2023"),'AES Indiana Bill Calc.'!$D$21)</f>
        <v>0</v>
      </c>
      <c r="F1169" s="36" t="s">
        <v>261</v>
      </c>
      <c r="G1169" s="92"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0.01</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35">
      <c r="A1170" s="21"/>
      <c r="B1170" s="106">
        <v>-1</v>
      </c>
      <c r="C1170" s="106"/>
      <c r="D1170" s="111"/>
      <c r="E1170" s="21"/>
      <c r="F1170" s="21"/>
      <c r="G1170" s="95"/>
      <c r="H1170" s="25"/>
      <c r="I1170" s="21"/>
      <c r="J1170" s="112"/>
      <c r="K1170" s="95"/>
      <c r="L1170" s="95"/>
      <c r="M1170" s="95"/>
      <c r="N1170" s="95"/>
      <c r="O1170" s="95"/>
      <c r="P1170" s="95"/>
      <c r="Q1170" s="95"/>
      <c r="R1170" s="113"/>
      <c r="S1170" s="95"/>
      <c r="T1170" s="95"/>
      <c r="U1170" s="95"/>
      <c r="V1170" s="95"/>
      <c r="W1170" s="95"/>
      <c r="X1170" s="95"/>
      <c r="Y1170" s="95"/>
      <c r="Z1170" s="95"/>
      <c r="AA1170" s="95"/>
      <c r="AB1170" s="25"/>
      <c r="AC1170" s="114"/>
    </row>
    <row r="1171" spans="1:29" ht="13" x14ac:dyDescent="0.3">
      <c r="B1171" s="103">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ht="13" x14ac:dyDescent="0.3">
      <c r="A1172" s="1" t="s">
        <v>148</v>
      </c>
      <c r="B1172" s="103">
        <f>IF(AND('AES Indiana Bill Calc.'!$D$17="HL4",'AES Indiana Bill Calc.'!$D$18="Yes 100%",'AES Indiana Bill Calc.'!$D$20="Yes 2024"),'AES Indiana Bill Calc.'!$D$19,-1)</f>
        <v>-1</v>
      </c>
      <c r="C1172" s="103">
        <f>MAX(E1172,$C$769)</f>
        <v>2000</v>
      </c>
      <c r="D1172" s="103" t="b">
        <f>IF(AND('AES Indiana Bill Calc.'!$D$17="HL4",'AES Indiana Bill Calc.'!$D$18="Yes 100%",'AES Indiana Bill Calc.'!$D$20="Yes 2024"),'AES Indiana Bill Calc.'!$D$22)</f>
        <v>0</v>
      </c>
      <c r="E1172" s="103" t="b">
        <f>IF(AND('AES Indiana Bill Calc.'!$D$17="HL4",'AES Indiana Bill Calc.'!$D$18="Yes 100%",'AES Indiana Bill Calc.'!$D$20="Yes 2024"),'AES Indiana Bill Calc.'!$D$21)</f>
        <v>0</v>
      </c>
      <c r="F1172" s="36" t="s">
        <v>299</v>
      </c>
      <c r="G1172" s="92"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0.01</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ht="13" x14ac:dyDescent="0.3">
      <c r="A1173" s="48"/>
      <c r="B1173" s="103">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ht="13" x14ac:dyDescent="0.3">
      <c r="A1174" s="1" t="s">
        <v>149</v>
      </c>
      <c r="B1174" s="103">
        <f>IF(AND('AES Indiana Bill Calc.'!$D$17="HL4",'AES Indiana Bill Calc.'!$D$18="Yes 50%",'AES Indiana Bill Calc.'!$D$20="Yes 2024"),'AES Indiana Bill Calc.'!$D$19,-1)</f>
        <v>-1</v>
      </c>
      <c r="C1174" s="103">
        <f>MAX(E1174,$C$769)</f>
        <v>2000</v>
      </c>
      <c r="D1174" s="103" t="b">
        <f>IF(AND('AES Indiana Bill Calc.'!$D$17="HL4",'AES Indiana Bill Calc.'!$D$18="Yes 50%",'AES Indiana Bill Calc.'!$D$20="Yes 2024"),'AES Indiana Bill Calc.'!$D$22)</f>
        <v>0</v>
      </c>
      <c r="E1174" s="103" t="b">
        <f>IF(AND('AES Indiana Bill Calc.'!$D$17="HL4",'AES Indiana Bill Calc.'!$D$18="Yes 50%",'AES Indiana Bill Calc.'!$D$20="Yes 2024"),'AES Indiana Bill Calc.'!$D$21)</f>
        <v>0</v>
      </c>
      <c r="F1174" s="36" t="s">
        <v>299</v>
      </c>
      <c r="G1174" s="92"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0.01</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ht="13" x14ac:dyDescent="0.3">
      <c r="A1175" s="9"/>
      <c r="B1175" s="103">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ht="13" x14ac:dyDescent="0.3">
      <c r="A1176" s="1" t="s">
        <v>150</v>
      </c>
      <c r="B1176" s="103">
        <f>IF(AND('AES Indiana Bill Calc.'!$D$17="HL4",'AES Indiana Bill Calc.'!$D$18="Yes 25%",'AES Indiana Bill Calc.'!$D$20="Yes 2024"),'AES Indiana Bill Calc.'!$D$19,-1)</f>
        <v>-1</v>
      </c>
      <c r="C1176" s="103">
        <f>MAX(E1176,$C$769)</f>
        <v>2000</v>
      </c>
      <c r="D1176" s="103" t="b">
        <f>IF(AND('AES Indiana Bill Calc.'!$D$17="HL4",'AES Indiana Bill Calc.'!$D$18="Yes 25%",'AES Indiana Bill Calc.'!$D$20="Yes 2024"),'AES Indiana Bill Calc.'!$D$22)</f>
        <v>0</v>
      </c>
      <c r="E1176" s="103" t="b">
        <f>IF(AND('AES Indiana Bill Calc.'!$D$17="HL4",'AES Indiana Bill Calc.'!$D$18="Yes 25%",'AES Indiana Bill Calc.'!$D$20="Yes 2024"),'AES Indiana Bill Calc.'!$D$21)</f>
        <v>0</v>
      </c>
      <c r="F1176" s="36" t="s">
        <v>299</v>
      </c>
      <c r="G1176" s="92"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0.01</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ht="13" x14ac:dyDescent="0.3">
      <c r="A1177" s="9"/>
      <c r="B1177" s="103">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ht="13" x14ac:dyDescent="0.3">
      <c r="A1178" s="1" t="s">
        <v>164</v>
      </c>
      <c r="B1178" s="103">
        <f>IF(AND('AES Indiana Bill Calc.'!$D$17="HL4",'AES Indiana Bill Calc.'!$D$18="Yes 10%",'AES Indiana Bill Calc.'!$D$20="Yes 2024"),'AES Indiana Bill Calc.'!$D$19,-1)</f>
        <v>-1</v>
      </c>
      <c r="C1178" s="103">
        <f>MAX(E1178,$C$769)</f>
        <v>2000</v>
      </c>
      <c r="D1178" s="103" t="b">
        <f>IF(AND('AES Indiana Bill Calc.'!$D$17="HL4",'AES Indiana Bill Calc.'!$D$18="Yes 10%",'AES Indiana Bill Calc.'!$D$20="Yes 2024"),'AES Indiana Bill Calc.'!$D$22)</f>
        <v>0</v>
      </c>
      <c r="E1178" s="103" t="b">
        <f>IF(AND('AES Indiana Bill Calc.'!$D$17="HL4",'AES Indiana Bill Calc.'!$D$18="Yes 10%",'AES Indiana Bill Calc.'!$D$20="Yes 2024"),'AES Indiana Bill Calc.'!$D$21)</f>
        <v>0</v>
      </c>
      <c r="F1178" s="36" t="s">
        <v>299</v>
      </c>
      <c r="G1178" s="92"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0.01</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ht="13" x14ac:dyDescent="0.3">
      <c r="A1179" s="9"/>
      <c r="B1179" s="103">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ht="13" x14ac:dyDescent="0.3">
      <c r="A1180" s="1" t="s">
        <v>147</v>
      </c>
      <c r="B1180" s="103">
        <f>IF(AND('AES Indiana Bill Calc.'!$D$17="HL4",'AES Indiana Bill Calc.'!$D$18="No",'AES Indiana Bill Calc.'!$D$20="Yes 2024"),'AES Indiana Bill Calc.'!$D$19,-1)</f>
        <v>-1</v>
      </c>
      <c r="C1180" s="103">
        <f>MAX(E1180,$C$769)</f>
        <v>2000</v>
      </c>
      <c r="D1180" s="103" t="b">
        <f>IF(AND('AES Indiana Bill Calc.'!$D$17="HL4",'AES Indiana Bill Calc.'!$D$18="No",'AES Indiana Bill Calc.'!$D$20="Yes 2024"),'AES Indiana Bill Calc.'!$D$22)</f>
        <v>0</v>
      </c>
      <c r="E1180" s="103" t="b">
        <f>IF(AND('AES Indiana Bill Calc.'!$D$17="HL4",'AES Indiana Bill Calc.'!$D$18="No",'AES Indiana Bill Calc.'!$D$20="Yes 2024"),'AES Indiana Bill Calc.'!$D$21)</f>
        <v>0</v>
      </c>
      <c r="F1180" s="36" t="s">
        <v>299</v>
      </c>
      <c r="G1180" s="92"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0.01</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67" customFormat="1" ht="14" thickBot="1" x14ac:dyDescent="0.35">
      <c r="A1181" s="175"/>
      <c r="B1181" s="106">
        <v>-1</v>
      </c>
      <c r="C1181" s="106"/>
      <c r="D1181" s="111"/>
      <c r="E1181" s="175"/>
      <c r="F1181" s="175"/>
      <c r="G1181" s="95"/>
      <c r="H1181" s="176"/>
      <c r="I1181" s="175"/>
      <c r="J1181" s="112"/>
      <c r="K1181" s="95"/>
      <c r="L1181" s="95"/>
      <c r="M1181" s="95"/>
      <c r="N1181" s="95"/>
      <c r="O1181" s="95"/>
      <c r="P1181" s="95"/>
      <c r="Q1181" s="95"/>
      <c r="R1181" s="113"/>
      <c r="S1181" s="95"/>
      <c r="T1181" s="95"/>
      <c r="U1181" s="95"/>
      <c r="V1181" s="95"/>
      <c r="W1181" s="95"/>
      <c r="X1181" s="95"/>
      <c r="Y1181" s="95"/>
      <c r="Z1181" s="95"/>
      <c r="AA1181" s="95"/>
      <c r="AB1181" s="176"/>
      <c r="AC1181" s="114"/>
    </row>
    <row r="1182" spans="1:29" x14ac:dyDescent="0.25">
      <c r="B1182" s="103"/>
    </row>
    <row r="1183" spans="1:29" x14ac:dyDescent="0.25">
      <c r="B1183" s="103"/>
    </row>
    <row r="1184" spans="1:29" x14ac:dyDescent="0.25">
      <c r="A1184" s="12"/>
      <c r="B1184" s="153"/>
      <c r="C1184" s="12"/>
      <c r="D1184" s="12"/>
      <c r="F1184" s="12"/>
      <c r="G1184" s="12"/>
      <c r="H1184" s="12"/>
      <c r="I1184" s="154"/>
      <c r="J1184" s="12"/>
      <c r="K1184" s="12"/>
      <c r="L1184" s="12"/>
      <c r="M1184" s="12"/>
      <c r="N1184" s="12"/>
      <c r="O1184" s="12"/>
      <c r="P1184" s="12"/>
      <c r="Q1184" s="12"/>
      <c r="R1184" s="12"/>
      <c r="S1184" s="12"/>
      <c r="T1184" s="12"/>
      <c r="U1184" s="143"/>
      <c r="V1184" s="143"/>
      <c r="W1184" s="143"/>
      <c r="X1184" s="200"/>
      <c r="Y1184" s="200"/>
    </row>
    <row r="1185" spans="1:25" x14ac:dyDescent="0.25">
      <c r="A1185" s="12"/>
      <c r="B1185" s="153"/>
      <c r="C1185" s="12"/>
      <c r="D1185" s="12"/>
      <c r="F1185" s="12"/>
      <c r="G1185" s="12"/>
      <c r="J1185" s="12"/>
      <c r="K1185" s="12"/>
      <c r="L1185" s="12"/>
      <c r="M1185" s="12"/>
      <c r="N1185" s="12"/>
      <c r="O1185" s="12"/>
      <c r="P1185" s="12"/>
      <c r="Q1185" s="12"/>
      <c r="R1185" s="12"/>
      <c r="S1185" s="12"/>
      <c r="T1185" s="12"/>
      <c r="U1185" s="12"/>
      <c r="V1185" s="12"/>
      <c r="W1185" s="12"/>
      <c r="X1185" s="81"/>
      <c r="Y1185" s="81"/>
    </row>
    <row r="1186" spans="1:25" ht="13" x14ac:dyDescent="0.3">
      <c r="A1186" s="155"/>
      <c r="B1186" s="156"/>
      <c r="C1186" s="36"/>
      <c r="D1186" s="42"/>
      <c r="F1186" s="18"/>
      <c r="G1186" s="41"/>
      <c r="H1186" s="157"/>
      <c r="I1186" s="80"/>
      <c r="J1186" s="18"/>
      <c r="K1186" s="18"/>
      <c r="L1186" s="18"/>
      <c r="M1186" s="18"/>
      <c r="N1186" s="18"/>
      <c r="O1186" s="18"/>
      <c r="P1186" s="18"/>
      <c r="Q1186" s="18"/>
      <c r="R1186" s="18"/>
      <c r="S1186" s="18"/>
      <c r="T1186" s="18"/>
      <c r="U1186" s="18"/>
      <c r="V1186" s="18"/>
      <c r="W1186" s="18"/>
      <c r="X1186" s="201"/>
      <c r="Y1186" s="201"/>
    </row>
    <row r="1187" spans="1:25" ht="13" x14ac:dyDescent="0.3">
      <c r="A1187" s="155"/>
      <c r="B1187" s="156"/>
      <c r="C1187" s="36"/>
      <c r="D1187" s="42"/>
      <c r="F1187" s="18"/>
      <c r="G1187" s="41"/>
      <c r="H1187" s="157"/>
      <c r="I1187" s="80"/>
      <c r="J1187" s="18"/>
      <c r="K1187" s="18"/>
      <c r="L1187" s="18"/>
      <c r="M1187" s="18"/>
      <c r="N1187" s="18"/>
      <c r="O1187" s="18"/>
      <c r="P1187" s="18"/>
      <c r="Q1187" s="18"/>
      <c r="R1187" s="18"/>
      <c r="S1187" s="18"/>
      <c r="T1187" s="18"/>
      <c r="U1187" s="18"/>
      <c r="V1187" s="18"/>
      <c r="W1187" s="18"/>
      <c r="X1187" s="83"/>
      <c r="Y1187" s="83"/>
    </row>
    <row r="1188" spans="1:25" ht="13" x14ac:dyDescent="0.3">
      <c r="A1188" s="155"/>
      <c r="B1188" s="156"/>
      <c r="C1188" s="36"/>
      <c r="D1188" s="42"/>
      <c r="F1188" s="18"/>
      <c r="G1188" s="41"/>
      <c r="H1188" s="157"/>
      <c r="I1188" s="80"/>
      <c r="J1188" s="18"/>
      <c r="K1188" s="18"/>
      <c r="L1188" s="18"/>
      <c r="M1188" s="18"/>
      <c r="N1188" s="18"/>
      <c r="O1188" s="18"/>
      <c r="P1188" s="18"/>
      <c r="Q1188" s="18"/>
      <c r="R1188" s="18"/>
      <c r="S1188" s="18"/>
      <c r="T1188" s="18"/>
      <c r="U1188" s="18"/>
      <c r="V1188" s="18"/>
      <c r="W1188" s="18"/>
      <c r="X1188" s="83"/>
      <c r="Y1188" s="83"/>
    </row>
    <row r="1189" spans="1:25" x14ac:dyDescent="0.25">
      <c r="B1189" s="40"/>
      <c r="C1189" s="40"/>
      <c r="X1189" s="199"/>
      <c r="Y1189" s="199"/>
    </row>
    <row r="1190" spans="1:25" x14ac:dyDescent="0.25">
      <c r="B1190" s="40"/>
      <c r="C1190" s="40"/>
    </row>
  </sheetData>
  <mergeCells count="19">
    <mergeCell ref="X1189:Y1189"/>
    <mergeCell ref="L773:M773"/>
    <mergeCell ref="L878:M878"/>
    <mergeCell ref="L982:M982"/>
    <mergeCell ref="L1088:M1088"/>
    <mergeCell ref="X1184:Y1184"/>
    <mergeCell ref="X1186:Y1186"/>
    <mergeCell ref="K668:L668"/>
    <mergeCell ref="B2:E2"/>
    <mergeCell ref="K42:L42"/>
    <mergeCell ref="K58:M58"/>
    <mergeCell ref="K72:M72"/>
    <mergeCell ref="K95:L95"/>
    <mergeCell ref="K201:L201"/>
    <mergeCell ref="K307:L307"/>
    <mergeCell ref="K404:L404"/>
    <mergeCell ref="K422:L422"/>
    <mergeCell ref="K438:L438"/>
    <mergeCell ref="L566:M56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K64" sqref="K64"/>
    </sheetView>
  </sheetViews>
  <sheetFormatPr defaultRowHeight="12.5" x14ac:dyDescent="0.25"/>
  <cols>
    <col min="1" max="1" width="12" bestFit="1" customWidth="1"/>
    <col min="2" max="2" width="9.54296875" bestFit="1" customWidth="1"/>
  </cols>
  <sheetData>
    <row r="1" spans="1:2" x14ac:dyDescent="0.25">
      <c r="A1" t="s">
        <v>31</v>
      </c>
      <c r="B1" s="1" t="s">
        <v>195</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K64" sqref="K64"/>
      <selection pane="topRight" activeCell="K64" sqref="K64"/>
      <selection pane="bottomLeft" activeCell="K64" sqref="K64"/>
      <selection pane="bottomRight" activeCell="K64" sqref="K64"/>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8">
        <v>2015</v>
      </c>
      <c r="AL2" s="158" t="s">
        <v>266</v>
      </c>
      <c r="AM2" s="57"/>
      <c r="AN2" s="56"/>
      <c r="AO2" s="158">
        <v>2015</v>
      </c>
      <c r="AP2" s="158" t="s">
        <v>267</v>
      </c>
      <c r="AQ2" s="57"/>
      <c r="AR2" s="56"/>
      <c r="AS2" s="158">
        <v>2015</v>
      </c>
      <c r="AT2" s="158" t="s">
        <v>268</v>
      </c>
      <c r="AU2" s="57"/>
      <c r="AV2" s="56"/>
      <c r="AW2" s="158">
        <v>2015</v>
      </c>
      <c r="AX2" s="158" t="s">
        <v>269</v>
      </c>
      <c r="AY2" s="57"/>
      <c r="AZ2" s="56"/>
      <c r="BA2" s="158">
        <v>2015</v>
      </c>
      <c r="BB2" s="158" t="s">
        <v>270</v>
      </c>
      <c r="BC2" s="57"/>
      <c r="BD2" s="56"/>
      <c r="BE2" s="158">
        <v>2015</v>
      </c>
      <c r="BF2" s="158" t="s">
        <v>271</v>
      </c>
      <c r="BG2" s="57"/>
      <c r="BH2" s="56"/>
      <c r="BI2" s="158">
        <v>2015</v>
      </c>
      <c r="BJ2" s="158" t="s">
        <v>265</v>
      </c>
      <c r="BK2" s="57"/>
      <c r="BL2" s="56"/>
      <c r="BM2" s="158">
        <v>2016</v>
      </c>
      <c r="BN2" s="158" t="s">
        <v>272</v>
      </c>
      <c r="BO2" s="57"/>
      <c r="BP2" s="56"/>
      <c r="BQ2" s="158">
        <v>2016</v>
      </c>
      <c r="BR2" s="158" t="s">
        <v>273</v>
      </c>
      <c r="BS2" s="57"/>
      <c r="BT2" s="56"/>
      <c r="BU2" s="158">
        <v>2016</v>
      </c>
      <c r="BV2" s="158" t="s">
        <v>274</v>
      </c>
      <c r="BW2" s="57"/>
      <c r="BX2" s="56"/>
      <c r="BY2" s="68">
        <v>2016</v>
      </c>
      <c r="BZ2" s="158" t="s">
        <v>275</v>
      </c>
      <c r="CA2" s="57"/>
      <c r="CB2" s="56"/>
      <c r="CC2" s="68">
        <v>2016</v>
      </c>
      <c r="CD2" s="158" t="s">
        <v>276</v>
      </c>
      <c r="CE2" s="57"/>
      <c r="CF2" s="56"/>
      <c r="CG2" s="68">
        <v>2016</v>
      </c>
      <c r="CH2" s="158" t="s">
        <v>266</v>
      </c>
      <c r="CI2" s="57"/>
      <c r="CJ2" s="56"/>
      <c r="CK2" s="68">
        <v>2016</v>
      </c>
      <c r="CL2" s="158" t="s">
        <v>267</v>
      </c>
      <c r="CM2" s="57"/>
      <c r="CN2" s="56"/>
      <c r="CO2" s="68">
        <v>2016</v>
      </c>
      <c r="CP2" s="158" t="s">
        <v>268</v>
      </c>
      <c r="CQ2" s="57"/>
      <c r="CR2" s="56"/>
      <c r="CS2" s="68">
        <v>2016</v>
      </c>
      <c r="CT2" s="158" t="s">
        <v>264</v>
      </c>
      <c r="CU2" s="57"/>
      <c r="CV2" s="56"/>
      <c r="CW2" s="68">
        <v>2016</v>
      </c>
      <c r="CX2" s="158" t="s">
        <v>270</v>
      </c>
      <c r="CY2" s="57"/>
      <c r="CZ2" s="56"/>
      <c r="DA2" s="68">
        <v>2016</v>
      </c>
      <c r="DB2" s="158" t="s">
        <v>271</v>
      </c>
      <c r="DC2" s="57"/>
      <c r="DD2" s="56"/>
      <c r="DE2" s="68">
        <v>2016</v>
      </c>
      <c r="DF2" s="158" t="s">
        <v>265</v>
      </c>
      <c r="DG2" s="57"/>
      <c r="DH2" s="56"/>
      <c r="DI2" s="68">
        <v>2017</v>
      </c>
      <c r="DJ2" s="158" t="s">
        <v>272</v>
      </c>
      <c r="DK2" s="57"/>
      <c r="DL2" s="56"/>
      <c r="DM2" s="68">
        <v>2017</v>
      </c>
      <c r="DN2" s="158" t="s">
        <v>273</v>
      </c>
      <c r="DO2" s="57"/>
      <c r="DP2" s="56"/>
      <c r="DQ2" s="68">
        <v>2017</v>
      </c>
      <c r="DR2" s="158" t="s">
        <v>274</v>
      </c>
      <c r="DS2" s="57"/>
      <c r="DT2" s="56"/>
      <c r="DU2" s="68">
        <v>2019</v>
      </c>
      <c r="DV2" s="158" t="s">
        <v>274</v>
      </c>
      <c r="DW2" s="57"/>
      <c r="DX2" s="56"/>
      <c r="DY2" s="68">
        <v>2019</v>
      </c>
      <c r="DZ2" s="158" t="s">
        <v>275</v>
      </c>
      <c r="EA2" s="57"/>
      <c r="EB2" s="56"/>
      <c r="EC2" s="68">
        <v>2019</v>
      </c>
      <c r="ED2" s="158" t="s">
        <v>276</v>
      </c>
      <c r="EE2" s="57"/>
      <c r="EF2" s="56"/>
      <c r="EG2" s="68">
        <v>2019</v>
      </c>
      <c r="EH2" s="158" t="s">
        <v>266</v>
      </c>
      <c r="EI2" s="57"/>
      <c r="EJ2" s="56"/>
      <c r="EK2" s="68">
        <v>2019</v>
      </c>
      <c r="EL2" s="158" t="s">
        <v>267</v>
      </c>
      <c r="EM2" s="57"/>
      <c r="EN2" s="56"/>
      <c r="EO2" s="68">
        <v>2019</v>
      </c>
      <c r="EP2" s="158" t="s">
        <v>268</v>
      </c>
      <c r="EQ2" s="57"/>
    </row>
    <row r="3" spans="1:147" x14ac:dyDescent="0.25">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6" t="s">
        <v>278</v>
      </c>
      <c r="BZ3" s="146" t="s">
        <v>279</v>
      </c>
      <c r="CA3" s="59"/>
      <c r="CB3" s="58"/>
      <c r="CC3" s="146" t="s">
        <v>278</v>
      </c>
      <c r="CD3" s="146" t="s">
        <v>279</v>
      </c>
      <c r="CE3" s="59"/>
      <c r="CF3" s="58"/>
      <c r="CG3" s="146" t="s">
        <v>278</v>
      </c>
      <c r="CH3" s="146" t="s">
        <v>279</v>
      </c>
      <c r="CI3" s="59"/>
      <c r="CJ3" s="58"/>
      <c r="CK3" s="146" t="s">
        <v>278</v>
      </c>
      <c r="CL3" s="146" t="s">
        <v>279</v>
      </c>
      <c r="CM3" s="59"/>
      <c r="CN3" s="58"/>
      <c r="CO3" s="146" t="s">
        <v>278</v>
      </c>
      <c r="CP3" s="146" t="s">
        <v>279</v>
      </c>
      <c r="CQ3" s="59"/>
      <c r="CR3" s="58"/>
      <c r="CS3" s="146" t="s">
        <v>278</v>
      </c>
      <c r="CT3" s="146" t="s">
        <v>279</v>
      </c>
      <c r="CU3" s="59"/>
      <c r="CV3" s="58"/>
      <c r="CW3" s="146" t="s">
        <v>278</v>
      </c>
      <c r="CX3" s="146" t="s">
        <v>279</v>
      </c>
      <c r="CY3" s="59"/>
      <c r="CZ3" s="58"/>
      <c r="DA3" s="146" t="s">
        <v>278</v>
      </c>
      <c r="DB3" s="146" t="s">
        <v>279</v>
      </c>
      <c r="DC3" s="59"/>
      <c r="DD3" s="58"/>
      <c r="DE3" s="146" t="s">
        <v>278</v>
      </c>
      <c r="DF3" s="146" t="s">
        <v>279</v>
      </c>
      <c r="DG3" s="59"/>
      <c r="DH3" s="58"/>
      <c r="DI3" s="146" t="s">
        <v>278</v>
      </c>
      <c r="DJ3" s="146" t="s">
        <v>279</v>
      </c>
      <c r="DK3" s="59"/>
      <c r="DL3" s="58"/>
      <c r="DM3" s="146" t="s">
        <v>278</v>
      </c>
      <c r="DN3" s="146" t="s">
        <v>279</v>
      </c>
      <c r="DO3" s="59"/>
      <c r="DP3" s="58"/>
      <c r="DQ3" s="146" t="s">
        <v>278</v>
      </c>
      <c r="DR3" s="146" t="s">
        <v>279</v>
      </c>
      <c r="DS3" s="59"/>
      <c r="DT3" s="58"/>
      <c r="DU3" s="146" t="s">
        <v>278</v>
      </c>
      <c r="DV3" s="146" t="s">
        <v>279</v>
      </c>
      <c r="DW3" s="59"/>
      <c r="DX3" s="58"/>
      <c r="DY3" s="146" t="s">
        <v>278</v>
      </c>
      <c r="DZ3" s="146" t="s">
        <v>279</v>
      </c>
      <c r="EA3" s="59"/>
      <c r="EB3" s="58"/>
      <c r="EC3" s="146" t="s">
        <v>278</v>
      </c>
      <c r="ED3" s="146" t="s">
        <v>279</v>
      </c>
      <c r="EE3" s="59"/>
      <c r="EF3" s="58"/>
      <c r="EG3" s="146" t="s">
        <v>278</v>
      </c>
      <c r="EH3" s="146" t="s">
        <v>279</v>
      </c>
      <c r="EI3" s="59"/>
      <c r="EJ3" s="58"/>
      <c r="EK3" s="146" t="s">
        <v>278</v>
      </c>
      <c r="EL3" s="146" t="s">
        <v>279</v>
      </c>
      <c r="EM3" s="59"/>
      <c r="EN3" s="58"/>
      <c r="EO3" s="146" t="s">
        <v>278</v>
      </c>
      <c r="EP3" s="146" t="s">
        <v>279</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5">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5">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9" t="s">
        <v>284</v>
      </c>
      <c r="AV11" s="60">
        <f>+AW11-AS11</f>
        <v>30</v>
      </c>
      <c r="AW11" s="46">
        <v>42263</v>
      </c>
      <c r="AX11" s="45">
        <f>WORKDAY(AW11,1,AN$33:AN$43)</f>
        <v>42264</v>
      </c>
      <c r="AY11" s="159" t="s">
        <v>284</v>
      </c>
      <c r="AZ11" s="60">
        <f>+BA11-AW11</f>
        <v>30</v>
      </c>
      <c r="BA11" s="46">
        <v>42293</v>
      </c>
      <c r="BB11" s="45">
        <f>WORKDAY(BA11,1,AR$33:AR$43)</f>
        <v>42296</v>
      </c>
      <c r="BC11" s="159" t="s">
        <v>284</v>
      </c>
      <c r="BD11" s="60">
        <f>+BE11-BA11</f>
        <v>28</v>
      </c>
      <c r="BE11" s="46">
        <v>42321</v>
      </c>
      <c r="BF11" s="45">
        <f>WORKDAY(BE11,1,AV$33:AV$43)</f>
        <v>42324</v>
      </c>
      <c r="BG11" s="159" t="s">
        <v>284</v>
      </c>
      <c r="BH11" s="60">
        <f>+BI11-BE11</f>
        <v>32</v>
      </c>
      <c r="BI11" s="46">
        <v>42353</v>
      </c>
      <c r="BJ11" s="45">
        <f>WORKDAY(BI11,1,AZ$33:AZ$43)</f>
        <v>42354</v>
      </c>
      <c r="BK11" s="159" t="s">
        <v>284</v>
      </c>
      <c r="BL11" s="60">
        <f>+BM11-BI11</f>
        <v>31</v>
      </c>
      <c r="BM11" s="46">
        <v>42384</v>
      </c>
      <c r="BN11" s="45">
        <f>WORKDAY(BM11,1,BD$33:BD$43)</f>
        <v>42387</v>
      </c>
      <c r="BO11" s="159" t="s">
        <v>284</v>
      </c>
      <c r="BP11" s="60">
        <f>+BQ11-BM11</f>
        <v>31</v>
      </c>
      <c r="BQ11" s="46">
        <v>42415</v>
      </c>
      <c r="BR11" s="45">
        <f>WORKDAY(BQ11,1,BH$33:BH$43)</f>
        <v>42416</v>
      </c>
      <c r="BS11" s="159" t="s">
        <v>284</v>
      </c>
      <c r="BT11" s="60">
        <f>+BU11-BQ11</f>
        <v>30</v>
      </c>
      <c r="BU11" s="46">
        <v>42445</v>
      </c>
      <c r="BV11" s="45">
        <f>WORKDAY(BU11,1,BL$33:BL$43)</f>
        <v>42446</v>
      </c>
      <c r="BW11" s="159" t="s">
        <v>284</v>
      </c>
      <c r="BX11" s="60">
        <f>+BY11-BU11</f>
        <v>29</v>
      </c>
      <c r="BY11" s="46">
        <v>42474</v>
      </c>
      <c r="BZ11" s="45">
        <f>WORKDAY(BY11,1)</f>
        <v>42475</v>
      </c>
      <c r="CA11" s="159" t="s">
        <v>284</v>
      </c>
      <c r="CB11" s="60">
        <f>+CC11-BY11</f>
        <v>32</v>
      </c>
      <c r="CC11" s="46">
        <v>42506</v>
      </c>
      <c r="CD11" s="45">
        <f>WORKDAY(CC11,1)</f>
        <v>42507</v>
      </c>
      <c r="CE11" s="159" t="s">
        <v>284</v>
      </c>
      <c r="CF11" s="60">
        <f>+CG11-CC11</f>
        <v>30</v>
      </c>
      <c r="CG11" s="46">
        <v>42536</v>
      </c>
      <c r="CH11" s="45">
        <f>WORKDAY(CG11,1)</f>
        <v>42537</v>
      </c>
      <c r="CI11" s="159" t="s">
        <v>284</v>
      </c>
      <c r="CJ11" s="60">
        <f>+CK11-CG11</f>
        <v>30</v>
      </c>
      <c r="CK11" s="46">
        <v>42566</v>
      </c>
      <c r="CL11" s="45">
        <f>WORKDAY(CK11,1)</f>
        <v>42569</v>
      </c>
      <c r="CM11" s="159" t="s">
        <v>284</v>
      </c>
      <c r="CN11" s="60">
        <f>+CO11-CK11</f>
        <v>32</v>
      </c>
      <c r="CO11" s="46">
        <v>42598</v>
      </c>
      <c r="CP11" s="45">
        <f>WORKDAY(CO11,1)</f>
        <v>42599</v>
      </c>
      <c r="CQ11" s="159" t="s">
        <v>284</v>
      </c>
      <c r="CR11" s="60">
        <f>+CS11-CO11</f>
        <v>30</v>
      </c>
      <c r="CS11" s="46">
        <v>42628</v>
      </c>
      <c r="CT11" s="45">
        <f>WORKDAY(CS11,1)</f>
        <v>42629</v>
      </c>
      <c r="CU11" s="159" t="s">
        <v>284</v>
      </c>
      <c r="CV11" s="60">
        <f>+CW11-CS11</f>
        <v>29</v>
      </c>
      <c r="CW11" s="46">
        <v>42657</v>
      </c>
      <c r="CX11" s="45">
        <f>WORKDAY(CW11,1)</f>
        <v>42660</v>
      </c>
      <c r="CY11" s="159" t="s">
        <v>284</v>
      </c>
      <c r="CZ11" s="60">
        <f>+DA11-CW11</f>
        <v>32</v>
      </c>
      <c r="DA11" s="46">
        <v>42689</v>
      </c>
      <c r="DB11" s="45">
        <f>WORKDAY(DA11,1)</f>
        <v>42690</v>
      </c>
      <c r="DC11" s="159" t="s">
        <v>284</v>
      </c>
      <c r="DD11" s="60">
        <f>+DE11-DA11</f>
        <v>30</v>
      </c>
      <c r="DE11" s="46">
        <v>42719</v>
      </c>
      <c r="DF11" s="45">
        <f>WORKDAY(DE11,1)</f>
        <v>42720</v>
      </c>
      <c r="DG11" s="159" t="s">
        <v>284</v>
      </c>
      <c r="DH11" s="60">
        <f>+DI11-DE11</f>
        <v>34</v>
      </c>
      <c r="DI11" s="46">
        <v>42753</v>
      </c>
      <c r="DJ11" s="45">
        <f>WORKDAY(DI11,1)</f>
        <v>42754</v>
      </c>
      <c r="DK11" s="159" t="s">
        <v>284</v>
      </c>
      <c r="DL11" s="60">
        <f>+DM11-DI11</f>
        <v>28</v>
      </c>
      <c r="DM11" s="46">
        <v>42781</v>
      </c>
      <c r="DN11" s="45">
        <f>WORKDAY(DM11,1)</f>
        <v>42782</v>
      </c>
      <c r="DO11" s="159" t="s">
        <v>284</v>
      </c>
      <c r="DP11" s="60">
        <f>+DQ11-DM11</f>
        <v>29</v>
      </c>
      <c r="DQ11" s="46">
        <v>42810</v>
      </c>
      <c r="DR11" s="45">
        <f>WORKDAY(DQ11,1)</f>
        <v>42811</v>
      </c>
      <c r="DS11" s="159" t="s">
        <v>284</v>
      </c>
      <c r="DT11" s="60">
        <f>+DU11-DQ11</f>
        <v>728</v>
      </c>
      <c r="DU11" s="46">
        <v>43538</v>
      </c>
      <c r="DV11" s="45">
        <f t="shared" si="0"/>
        <v>43539</v>
      </c>
      <c r="DW11" s="159" t="s">
        <v>284</v>
      </c>
      <c r="DX11" s="60">
        <f t="shared" si="1"/>
        <v>33</v>
      </c>
      <c r="DY11" s="46">
        <v>43571</v>
      </c>
      <c r="DZ11" s="45">
        <f t="shared" si="2"/>
        <v>43572</v>
      </c>
      <c r="EA11" s="159" t="s">
        <v>284</v>
      </c>
      <c r="EB11" s="60">
        <f>+EC11-DY11</f>
        <v>30</v>
      </c>
      <c r="EC11" s="46">
        <v>43601</v>
      </c>
      <c r="ED11" s="45">
        <f>WORKDAY(EC11,1)</f>
        <v>43602</v>
      </c>
      <c r="EE11" s="159" t="s">
        <v>284</v>
      </c>
      <c r="EF11" s="60">
        <f>+EG11-EC11</f>
        <v>32</v>
      </c>
      <c r="EG11" s="46">
        <v>43633</v>
      </c>
      <c r="EH11" s="45">
        <f>WORKDAY(EG11,1)</f>
        <v>43634</v>
      </c>
      <c r="EI11" s="159" t="s">
        <v>284</v>
      </c>
      <c r="EJ11" s="60">
        <f>+EK11-EG11</f>
        <v>30</v>
      </c>
      <c r="EK11" s="46">
        <v>43663</v>
      </c>
      <c r="EL11" s="45">
        <f>WORKDAY(EK11,1)</f>
        <v>43664</v>
      </c>
      <c r="EM11" s="159" t="s">
        <v>284</v>
      </c>
      <c r="EN11" s="60">
        <f>+EO11-EK11</f>
        <v>30</v>
      </c>
      <c r="EO11" s="46">
        <v>43693</v>
      </c>
      <c r="EP11" s="45">
        <f>WORKDAY(EO11,1)</f>
        <v>43696</v>
      </c>
      <c r="EQ11" s="159" t="s">
        <v>284</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287</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288</v>
      </c>
    </row>
    <row r="45" spans="1:34" x14ac:dyDescent="0.25">
      <c r="AH45" t="s">
        <v>289</v>
      </c>
    </row>
    <row r="46" spans="1:34" x14ac:dyDescent="0.25">
      <c r="X46" s="10">
        <f>+X2</f>
        <v>2009</v>
      </c>
      <c r="Y46" t="s">
        <v>290</v>
      </c>
      <c r="AD46" s="10">
        <f>+AD2</f>
        <v>2009</v>
      </c>
      <c r="AE46" t="s">
        <v>291</v>
      </c>
    </row>
    <row r="47" spans="1:34" x14ac:dyDescent="0.25">
      <c r="X47" s="39" t="s">
        <v>278</v>
      </c>
      <c r="Y47" s="39" t="s">
        <v>279</v>
      </c>
      <c r="AD47" s="39" t="s">
        <v>278</v>
      </c>
      <c r="AE47" s="39" t="s">
        <v>279</v>
      </c>
    </row>
    <row r="49" spans="1:31" x14ac:dyDescent="0.25">
      <c r="A49">
        <v>41</v>
      </c>
      <c r="B49" t="s">
        <v>106</v>
      </c>
      <c r="X49" s="46">
        <v>39842</v>
      </c>
      <c r="Y49" s="45">
        <f>WORKDAY(X49,1,X$33:X$43)</f>
        <v>39843</v>
      </c>
      <c r="AD49" s="46">
        <v>40025</v>
      </c>
      <c r="AE49" s="45">
        <f>WORKDAY(AD49,1,AD$33:AD$43)</f>
        <v>40028</v>
      </c>
    </row>
    <row r="50" spans="1:31" x14ac:dyDescent="0.25">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Sep. - New Basic Rates</vt:lpstr>
      <vt:lpstr>Pwr Factor</vt:lpstr>
      <vt:lpstr>Dates</vt:lpstr>
      <vt:lpstr>'Calc. Sep. - New Basic Rates'!Print_Area</vt:lpstr>
      <vt:lpstr>'Calc. Sep. - New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2024-12-06T19:50:28Z</dcterms:modified>
  <cp:category/>
  <cp:contentStatus/>
</cp:coreProperties>
</file>