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8_{7A490B22-93F5-424A-BEFC-74D439487F25}" xr6:coauthVersionLast="47" xr6:coauthVersionMax="47" xr10:uidLastSave="{00000000-0000-0000-0000-000000000000}"/>
  <workbookProtection workbookAlgorithmName="SHA-512" workbookHashValue="djNU7qavweefQfxfHrovFMiGmJ/yGDALToN+gOmvZEpMOJcrFShQOpFIeW3m+CUXOObgmQDSkdfhOZgqIQhiOg==" workbookSaltValue="69jW3AhTVvLk7SVK+Wcqug==" workbookSpinCount="100000" lockStructure="1"/>
  <bookViews>
    <workbookView xWindow="-28920" yWindow="-120" windowWidth="29040" windowHeight="1584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July - New Basic Rates" sheetId="15" state="hidden" r:id="rId6"/>
    <sheet name="Pwr Factor" sheetId="2" state="hidden" r:id="rId7"/>
    <sheet name="Dates" sheetId="3" state="hidden" r:id="rId8"/>
  </sheets>
  <definedNames>
    <definedName name="_xlnm.Print_Area" localSheetId="5">'Calc. July - New Basic Rates'!$A$1:$AB$995</definedName>
    <definedName name="_xlnm.Print_Titles" localSheetId="5">'Calc. July - New Basic Rates'!$1:$39</definedName>
    <definedName name="_xlnm.Print_Titles" localSheetId="7">Dates!$A:$B</definedName>
    <definedName name="solver_adj" localSheetId="5" hidden="1">'Calc. July - New Basic Rates'!#REF!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July - New Basic Rates'!#REF!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10" l="1" a="1"/>
  <c r="C27" i="10" s="1"/>
  <c r="K62" i="11"/>
  <c r="B108" i="15" l="1"/>
  <c r="E536" i="15"/>
  <c r="D536" i="15"/>
  <c r="E538" i="15"/>
  <c r="D538" i="15"/>
  <c r="E540" i="15"/>
  <c r="D540" i="15"/>
  <c r="E542" i="15"/>
  <c r="D542" i="15"/>
  <c r="E544" i="15"/>
  <c r="D544" i="15"/>
  <c r="E546" i="15"/>
  <c r="C546" i="15" s="1"/>
  <c r="D546" i="15"/>
  <c r="R545" i="15" s="1"/>
  <c r="E548" i="15"/>
  <c r="C548" i="15" s="1"/>
  <c r="D548" i="15"/>
  <c r="R547" i="15" s="1"/>
  <c r="E550" i="15"/>
  <c r="C550" i="15" s="1"/>
  <c r="D550" i="15"/>
  <c r="R549" i="15" s="1"/>
  <c r="E552" i="15"/>
  <c r="C552" i="15" s="1"/>
  <c r="O552" i="15" s="1"/>
  <c r="D552" i="15"/>
  <c r="R551" i="15" s="1"/>
  <c r="E554" i="15"/>
  <c r="C554" i="15" s="1"/>
  <c r="D554" i="15"/>
  <c r="R553" i="15" s="1"/>
  <c r="E639" i="15"/>
  <c r="D639" i="15"/>
  <c r="E641" i="15"/>
  <c r="D641" i="15"/>
  <c r="E643" i="15"/>
  <c r="D643" i="15"/>
  <c r="E645" i="15"/>
  <c r="D645" i="15"/>
  <c r="E647" i="15"/>
  <c r="D647" i="15"/>
  <c r="E649" i="15"/>
  <c r="C649" i="15" s="1"/>
  <c r="D649" i="15"/>
  <c r="R648" i="15" s="1"/>
  <c r="E651" i="15"/>
  <c r="C651" i="15" s="1"/>
  <c r="D651" i="15"/>
  <c r="R650" i="15" s="1"/>
  <c r="E653" i="15"/>
  <c r="C653" i="15" s="1"/>
  <c r="D653" i="15"/>
  <c r="R652" i="15" s="1"/>
  <c r="E655" i="15"/>
  <c r="C655" i="15" s="1"/>
  <c r="D655" i="15"/>
  <c r="R654" i="15" s="1"/>
  <c r="E657" i="15"/>
  <c r="C657" i="15" s="1"/>
  <c r="D657" i="15"/>
  <c r="R656" i="15" s="1"/>
  <c r="E741" i="15"/>
  <c r="D741" i="15"/>
  <c r="E743" i="15"/>
  <c r="D743" i="15"/>
  <c r="E745" i="15"/>
  <c r="D745" i="15"/>
  <c r="E747" i="15"/>
  <c r="D747" i="15"/>
  <c r="E749" i="15"/>
  <c r="D749" i="15"/>
  <c r="E751" i="15"/>
  <c r="I751" i="15" s="1"/>
  <c r="D751" i="15"/>
  <c r="R750" i="15" s="1"/>
  <c r="E753" i="15"/>
  <c r="C753" i="15" s="1"/>
  <c r="D753" i="15"/>
  <c r="R752" i="15" s="1"/>
  <c r="E755" i="15"/>
  <c r="I755" i="15" s="1"/>
  <c r="D755" i="15"/>
  <c r="R754" i="15" s="1"/>
  <c r="E757" i="15"/>
  <c r="I757" i="15" s="1"/>
  <c r="D757" i="15"/>
  <c r="R756" i="15" s="1"/>
  <c r="E759" i="15"/>
  <c r="I759" i="15" s="1"/>
  <c r="D759" i="15"/>
  <c r="R758" i="15" s="1"/>
  <c r="E846" i="15"/>
  <c r="D846" i="15"/>
  <c r="E848" i="15"/>
  <c r="D848" i="15"/>
  <c r="E850" i="15"/>
  <c r="D850" i="15"/>
  <c r="E852" i="15"/>
  <c r="D852" i="15"/>
  <c r="E854" i="15"/>
  <c r="D854" i="15"/>
  <c r="E856" i="15"/>
  <c r="C856" i="15" s="1"/>
  <c r="D856" i="15"/>
  <c r="R855" i="15" s="1"/>
  <c r="E858" i="15"/>
  <c r="C858" i="15" s="1"/>
  <c r="D858" i="15"/>
  <c r="R857" i="15" s="1"/>
  <c r="E860" i="15"/>
  <c r="C860" i="15" s="1"/>
  <c r="M860" i="15" s="1"/>
  <c r="D860" i="15"/>
  <c r="R859" i="15" s="1"/>
  <c r="E862" i="15"/>
  <c r="C862" i="15" s="1"/>
  <c r="L862" i="15" s="1"/>
  <c r="D862" i="15"/>
  <c r="R861" i="15" s="1"/>
  <c r="E864" i="15"/>
  <c r="C864" i="15" s="1"/>
  <c r="D864" i="15"/>
  <c r="R863" i="15" s="1"/>
  <c r="E951" i="15"/>
  <c r="D951" i="15"/>
  <c r="E953" i="15"/>
  <c r="D953" i="15"/>
  <c r="E955" i="15"/>
  <c r="D955" i="15"/>
  <c r="E957" i="15"/>
  <c r="D957" i="15"/>
  <c r="E959" i="15"/>
  <c r="D959" i="15"/>
  <c r="E961" i="15"/>
  <c r="C961" i="15" s="1"/>
  <c r="D961" i="15"/>
  <c r="R960" i="15" s="1"/>
  <c r="E963" i="15"/>
  <c r="C963" i="15" s="1"/>
  <c r="D963" i="15"/>
  <c r="R962" i="15" s="1"/>
  <c r="E965" i="15"/>
  <c r="C965" i="15" s="1"/>
  <c r="M965" i="15" s="1"/>
  <c r="D965" i="15"/>
  <c r="R964" i="15" s="1"/>
  <c r="E967" i="15"/>
  <c r="C967" i="15" s="1"/>
  <c r="M967" i="15" s="1"/>
  <c r="D967" i="15"/>
  <c r="R966" i="15" s="1"/>
  <c r="E969" i="15"/>
  <c r="C969" i="15" s="1"/>
  <c r="D969" i="15"/>
  <c r="R968" i="15" s="1"/>
  <c r="D1063" i="15"/>
  <c r="E1063" i="15"/>
  <c r="E1065" i="15"/>
  <c r="D1065" i="15"/>
  <c r="E1067" i="15"/>
  <c r="D1067" i="15"/>
  <c r="E1069" i="15"/>
  <c r="D1069" i="15"/>
  <c r="E1071" i="15"/>
  <c r="D1071" i="15"/>
  <c r="D1073" i="15"/>
  <c r="E1073" i="15"/>
  <c r="E1075" i="15"/>
  <c r="C1075" i="15" s="1"/>
  <c r="D1075" i="15"/>
  <c r="R1074" i="15" s="1"/>
  <c r="E1077" i="15"/>
  <c r="C1077" i="15" s="1"/>
  <c r="D1077" i="15"/>
  <c r="R1076" i="15" s="1"/>
  <c r="E1079" i="15"/>
  <c r="C1079" i="15" s="1"/>
  <c r="D1079" i="15"/>
  <c r="R1078" i="15" s="1"/>
  <c r="E1081" i="15"/>
  <c r="C1081" i="15" s="1"/>
  <c r="L1081" i="15" s="1"/>
  <c r="D1081" i="15"/>
  <c r="R1080" i="15" s="1"/>
  <c r="E1083" i="15"/>
  <c r="C1083" i="15" s="1"/>
  <c r="M1083" i="15" s="1"/>
  <c r="D1083" i="15"/>
  <c r="R1082" i="15" s="1"/>
  <c r="E1161" i="15"/>
  <c r="D1161" i="15"/>
  <c r="E1163" i="15"/>
  <c r="D1163" i="15"/>
  <c r="E1165" i="15"/>
  <c r="D1165" i="15"/>
  <c r="E1167" i="15"/>
  <c r="D1167" i="15"/>
  <c r="E1169" i="15"/>
  <c r="D1169" i="15"/>
  <c r="E1172" i="15"/>
  <c r="C1172" i="15" s="1"/>
  <c r="D1172" i="15"/>
  <c r="R1171" i="15" s="1"/>
  <c r="E1174" i="15"/>
  <c r="C1174" i="15" s="1"/>
  <c r="D1174" i="15"/>
  <c r="R1173" i="15" s="1"/>
  <c r="E1176" i="15"/>
  <c r="C1176" i="15" s="1"/>
  <c r="D1176" i="15"/>
  <c r="R1175" i="15" s="1"/>
  <c r="E1178" i="15"/>
  <c r="C1178" i="15" s="1"/>
  <c r="L1178" i="15" s="1"/>
  <c r="D1178" i="15"/>
  <c r="R1177" i="15" s="1"/>
  <c r="E1180" i="15"/>
  <c r="C1180" i="15" s="1"/>
  <c r="D1180" i="15"/>
  <c r="R1179" i="15" s="1"/>
  <c r="B864" i="15"/>
  <c r="B862" i="15"/>
  <c r="B860" i="15"/>
  <c r="B858" i="15"/>
  <c r="B856" i="15"/>
  <c r="AC864" i="15"/>
  <c r="AB864" i="15"/>
  <c r="AC862" i="15"/>
  <c r="AB862" i="15"/>
  <c r="AC860" i="15"/>
  <c r="AB860" i="15"/>
  <c r="AC858" i="15"/>
  <c r="AB858" i="15"/>
  <c r="AC856" i="15"/>
  <c r="AB856" i="15"/>
  <c r="B1" i="10"/>
  <c r="B186" i="15"/>
  <c r="B184" i="15"/>
  <c r="B182" i="15"/>
  <c r="B180" i="15"/>
  <c r="B178" i="15"/>
  <c r="V189" i="15"/>
  <c r="V190" i="15"/>
  <c r="V191" i="15"/>
  <c r="V192" i="15"/>
  <c r="V193" i="15"/>
  <c r="V194" i="15"/>
  <c r="V195" i="15"/>
  <c r="V196" i="15"/>
  <c r="B292" i="15"/>
  <c r="J292" i="15" s="1"/>
  <c r="B290" i="15"/>
  <c r="B288" i="15"/>
  <c r="J288" i="15" s="1"/>
  <c r="B286" i="15"/>
  <c r="J286" i="15" s="1"/>
  <c r="B284" i="15"/>
  <c r="AC292" i="15"/>
  <c r="AC290" i="15"/>
  <c r="AC288" i="15"/>
  <c r="AC286" i="15"/>
  <c r="AC284" i="15"/>
  <c r="B398" i="15"/>
  <c r="J398" i="15" s="1"/>
  <c r="B396" i="15"/>
  <c r="B394" i="15"/>
  <c r="B392" i="15"/>
  <c r="B390" i="15"/>
  <c r="J390" i="15" s="1"/>
  <c r="AC398" i="15"/>
  <c r="AB398" i="15"/>
  <c r="C398" i="15"/>
  <c r="D398" i="15" s="1"/>
  <c r="AC396" i="15"/>
  <c r="AB396" i="15"/>
  <c r="C396" i="15"/>
  <c r="D396" i="15" s="1"/>
  <c r="AC394" i="15"/>
  <c r="AB394" i="15"/>
  <c r="C394" i="15"/>
  <c r="D394" i="15" s="1"/>
  <c r="AC392" i="15"/>
  <c r="AB392" i="15"/>
  <c r="C392" i="15"/>
  <c r="D392" i="15" s="1"/>
  <c r="AC390" i="15"/>
  <c r="AB390" i="15"/>
  <c r="M390" i="15"/>
  <c r="L390" i="15"/>
  <c r="K390" i="15"/>
  <c r="C390" i="15"/>
  <c r="D390" i="15" s="1"/>
  <c r="B554" i="15"/>
  <c r="B552" i="15"/>
  <c r="B550" i="15"/>
  <c r="B548" i="15"/>
  <c r="B546" i="15"/>
  <c r="AC554" i="15"/>
  <c r="AC552" i="15"/>
  <c r="AC550" i="15"/>
  <c r="AC548" i="15"/>
  <c r="AC546" i="15"/>
  <c r="B657" i="15"/>
  <c r="B655" i="15"/>
  <c r="B653" i="15"/>
  <c r="B651" i="15"/>
  <c r="B649" i="15"/>
  <c r="K649" i="15" s="1"/>
  <c r="N649" i="15" s="1"/>
  <c r="AC657" i="15"/>
  <c r="AC655" i="15"/>
  <c r="AC653" i="15"/>
  <c r="AC651" i="15"/>
  <c r="AC649" i="15"/>
  <c r="B759" i="15"/>
  <c r="B757" i="15"/>
  <c r="J757" i="15" s="1"/>
  <c r="B755" i="15"/>
  <c r="B753" i="15"/>
  <c r="H753" i="15" s="1"/>
  <c r="B751" i="15"/>
  <c r="AC759" i="15"/>
  <c r="AB759" i="15"/>
  <c r="Q758" i="15"/>
  <c r="AC757" i="15"/>
  <c r="AB757" i="15"/>
  <c r="Q756" i="15"/>
  <c r="AC755" i="15"/>
  <c r="AB755" i="15"/>
  <c r="Q754" i="15"/>
  <c r="AC753" i="15"/>
  <c r="AB753" i="15"/>
  <c r="Q752" i="15"/>
  <c r="AC751" i="15"/>
  <c r="AB751" i="15"/>
  <c r="Q750" i="15"/>
  <c r="B969" i="15"/>
  <c r="B967" i="15"/>
  <c r="B965" i="15"/>
  <c r="J965" i="15" s="1"/>
  <c r="B963" i="15"/>
  <c r="B961" i="15"/>
  <c r="K961" i="15" s="1"/>
  <c r="N961" i="15" s="1"/>
  <c r="AC969" i="15"/>
  <c r="AC968" i="15"/>
  <c r="M968" i="15"/>
  <c r="L968" i="15"/>
  <c r="K968" i="15"/>
  <c r="J968" i="15"/>
  <c r="H968" i="15"/>
  <c r="AC967" i="15"/>
  <c r="AC966" i="15"/>
  <c r="M966" i="15"/>
  <c r="L966" i="15"/>
  <c r="K966" i="15"/>
  <c r="J966" i="15"/>
  <c r="H966" i="15"/>
  <c r="AC965" i="15"/>
  <c r="AC964" i="15"/>
  <c r="M964" i="15"/>
  <c r="L964" i="15"/>
  <c r="K964" i="15"/>
  <c r="J964" i="15"/>
  <c r="H964" i="15"/>
  <c r="AC963" i="15"/>
  <c r="AC962" i="15"/>
  <c r="M962" i="15"/>
  <c r="L962" i="15"/>
  <c r="K962" i="15"/>
  <c r="J962" i="15"/>
  <c r="H962" i="15"/>
  <c r="AC961" i="15"/>
  <c r="AC960" i="15"/>
  <c r="M960" i="15"/>
  <c r="L960" i="15"/>
  <c r="K960" i="15"/>
  <c r="J960" i="15"/>
  <c r="H960" i="15"/>
  <c r="V971" i="15"/>
  <c r="B1083" i="15"/>
  <c r="B1081" i="15"/>
  <c r="B1079" i="15"/>
  <c r="J1079" i="15" s="1"/>
  <c r="B1077" i="15"/>
  <c r="J1077" i="15" s="1"/>
  <c r="B1075" i="15"/>
  <c r="AC1083" i="15"/>
  <c r="AC1081" i="15"/>
  <c r="AC1079" i="15"/>
  <c r="AC1077" i="15"/>
  <c r="AC1075" i="15"/>
  <c r="B1180" i="15"/>
  <c r="B1178" i="15"/>
  <c r="W1178" i="15" s="1"/>
  <c r="B1176" i="15"/>
  <c r="H1176" i="15" s="1"/>
  <c r="B1174" i="15"/>
  <c r="W1174" i="15" s="1"/>
  <c r="B1172" i="15"/>
  <c r="K1172" i="15" s="1"/>
  <c r="N1172" i="15" s="1"/>
  <c r="AC1180" i="15"/>
  <c r="AC1178" i="15"/>
  <c r="AC1176" i="15"/>
  <c r="AC1174" i="15"/>
  <c r="AC1172" i="15"/>
  <c r="V92" i="15"/>
  <c r="V198" i="15"/>
  <c r="V304" i="15"/>
  <c r="V460" i="15"/>
  <c r="V563" i="15"/>
  <c r="V665" i="15"/>
  <c r="V770" i="15"/>
  <c r="V875" i="15"/>
  <c r="V979" i="15"/>
  <c r="B1169" i="15"/>
  <c r="B1167" i="15"/>
  <c r="B1165" i="15"/>
  <c r="B1163" i="15"/>
  <c r="B1161" i="15"/>
  <c r="R4" i="15"/>
  <c r="C60" i="11"/>
  <c r="C64" i="11"/>
  <c r="C66" i="11"/>
  <c r="C56" i="11"/>
  <c r="J67" i="11"/>
  <c r="H67" i="11"/>
  <c r="E67" i="11"/>
  <c r="G67" i="11" s="1"/>
  <c r="H66" i="11"/>
  <c r="J66" i="11" s="1"/>
  <c r="E66" i="11"/>
  <c r="G66" i="11" s="1"/>
  <c r="J65" i="11"/>
  <c r="H65" i="11"/>
  <c r="E65" i="11"/>
  <c r="G65" i="11" s="1"/>
  <c r="H64" i="11"/>
  <c r="J64" i="11" s="1"/>
  <c r="E64" i="11"/>
  <c r="G64" i="11" s="1"/>
  <c r="H63" i="11"/>
  <c r="C63" i="11" s="1"/>
  <c r="E63" i="11"/>
  <c r="G63" i="11" s="1"/>
  <c r="H62" i="11"/>
  <c r="J62" i="11" s="1"/>
  <c r="E62" i="11"/>
  <c r="G62" i="11" s="1"/>
  <c r="J61" i="11"/>
  <c r="H61" i="11"/>
  <c r="E61" i="11"/>
  <c r="G61" i="11" s="1"/>
  <c r="H60" i="11"/>
  <c r="J60" i="11" s="1"/>
  <c r="E60" i="11"/>
  <c r="G60" i="11" s="1"/>
  <c r="H59" i="11"/>
  <c r="J59" i="11" s="1"/>
  <c r="G59" i="11"/>
  <c r="E59" i="11"/>
  <c r="C59" i="11" s="1"/>
  <c r="H58" i="11"/>
  <c r="J58" i="11" s="1"/>
  <c r="E58" i="11"/>
  <c r="G58" i="11" s="1"/>
  <c r="J57" i="11"/>
  <c r="E57" i="11"/>
  <c r="C57" i="11" s="1"/>
  <c r="J56" i="11"/>
  <c r="G56" i="11"/>
  <c r="K420" i="15"/>
  <c r="J420" i="15"/>
  <c r="M70" i="15"/>
  <c r="L70" i="15"/>
  <c r="K70" i="15"/>
  <c r="J70" i="15"/>
  <c r="F70" i="15"/>
  <c r="G57" i="11" l="1"/>
  <c r="J63" i="11"/>
  <c r="C62" i="11"/>
  <c r="C58" i="11"/>
  <c r="C61" i="11"/>
  <c r="C67" i="11"/>
  <c r="C65" i="11"/>
  <c r="V286" i="15"/>
  <c r="V862" i="15"/>
  <c r="V864" i="15"/>
  <c r="V856" i="15"/>
  <c r="V858" i="15"/>
  <c r="J858" i="15"/>
  <c r="V860" i="15"/>
  <c r="H860" i="15"/>
  <c r="H858" i="15"/>
  <c r="K858" i="15"/>
  <c r="N858" i="15" s="1"/>
  <c r="H856" i="15"/>
  <c r="J856" i="15"/>
  <c r="K856" i="15"/>
  <c r="N856" i="15" s="1"/>
  <c r="M856" i="15"/>
  <c r="L856" i="15"/>
  <c r="L864" i="15"/>
  <c r="M864" i="15"/>
  <c r="M858" i="15"/>
  <c r="L858" i="15"/>
  <c r="M862" i="15"/>
  <c r="Q862" i="15" s="1"/>
  <c r="J860" i="15"/>
  <c r="H862" i="15"/>
  <c r="K860" i="15"/>
  <c r="N860" i="15" s="1"/>
  <c r="J862" i="15"/>
  <c r="H864" i="15"/>
  <c r="L860" i="15"/>
  <c r="Q860" i="15" s="1"/>
  <c r="K862" i="15"/>
  <c r="N862" i="15" s="1"/>
  <c r="J864" i="15"/>
  <c r="K864" i="15"/>
  <c r="N864" i="15" s="1"/>
  <c r="V546" i="15"/>
  <c r="V392" i="15"/>
  <c r="V284" i="15"/>
  <c r="V290" i="15"/>
  <c r="V186" i="15"/>
  <c r="V182" i="15"/>
  <c r="V184" i="15"/>
  <c r="V554" i="15"/>
  <c r="H290" i="15"/>
  <c r="K290" i="15"/>
  <c r="N290" i="15" s="1"/>
  <c r="V178" i="15"/>
  <c r="V180" i="15"/>
  <c r="H178" i="15"/>
  <c r="H180" i="15"/>
  <c r="H182" i="15"/>
  <c r="H184" i="15"/>
  <c r="H186" i="15"/>
  <c r="J178" i="15"/>
  <c r="J180" i="15"/>
  <c r="J182" i="15"/>
  <c r="J184" i="15"/>
  <c r="J186" i="15"/>
  <c r="K178" i="15"/>
  <c r="K180" i="15"/>
  <c r="K182" i="15"/>
  <c r="K184" i="15"/>
  <c r="K186" i="15"/>
  <c r="L178" i="15"/>
  <c r="L180" i="15"/>
  <c r="L182" i="15"/>
  <c r="L184" i="15"/>
  <c r="L186" i="15"/>
  <c r="H546" i="15"/>
  <c r="J546" i="15"/>
  <c r="K546" i="15"/>
  <c r="N546" i="15" s="1"/>
  <c r="V548" i="15"/>
  <c r="V394" i="15"/>
  <c r="V288" i="15"/>
  <c r="V550" i="15"/>
  <c r="V552" i="15"/>
  <c r="V390" i="15"/>
  <c r="V292" i="15"/>
  <c r="H288" i="15"/>
  <c r="H286" i="15"/>
  <c r="K286" i="15"/>
  <c r="N286" i="15" s="1"/>
  <c r="K288" i="15"/>
  <c r="N288" i="15" s="1"/>
  <c r="J290" i="15"/>
  <c r="H292" i="15"/>
  <c r="K292" i="15"/>
  <c r="N292" i="15" s="1"/>
  <c r="H284" i="15"/>
  <c r="J284" i="15"/>
  <c r="K284" i="15"/>
  <c r="N284" i="15" s="1"/>
  <c r="N390" i="15"/>
  <c r="J396" i="15"/>
  <c r="V396" i="15"/>
  <c r="V398" i="15"/>
  <c r="J392" i="15"/>
  <c r="M395" i="15"/>
  <c r="M396" i="15" s="1"/>
  <c r="K395" i="15"/>
  <c r="K396" i="15" s="1"/>
  <c r="M391" i="15"/>
  <c r="M392" i="15" s="1"/>
  <c r="K391" i="15"/>
  <c r="K392" i="15" s="1"/>
  <c r="M397" i="15"/>
  <c r="M398" i="15" s="1"/>
  <c r="K397" i="15"/>
  <c r="K398" i="15" s="1"/>
  <c r="K393" i="15"/>
  <c r="K394" i="15" s="1"/>
  <c r="J394" i="15"/>
  <c r="M393" i="15"/>
  <c r="M394" i="15" s="1"/>
  <c r="H390" i="15"/>
  <c r="H392" i="15"/>
  <c r="H394" i="15"/>
  <c r="H396" i="15"/>
  <c r="H398" i="15"/>
  <c r="O550" i="15"/>
  <c r="P550" i="15"/>
  <c r="V755" i="15"/>
  <c r="C757" i="15"/>
  <c r="K756" i="15" s="1"/>
  <c r="K757" i="15" s="1"/>
  <c r="H548" i="15"/>
  <c r="J548" i="15"/>
  <c r="P548" i="15"/>
  <c r="O548" i="15"/>
  <c r="P554" i="15"/>
  <c r="O554" i="15"/>
  <c r="P546" i="15"/>
  <c r="O546" i="15"/>
  <c r="P552" i="15"/>
  <c r="Q552" i="15" s="1"/>
  <c r="H550" i="15"/>
  <c r="K548" i="15"/>
  <c r="N548" i="15" s="1"/>
  <c r="J550" i="15"/>
  <c r="H552" i="15"/>
  <c r="K550" i="15"/>
  <c r="N550" i="15" s="1"/>
  <c r="J552" i="15"/>
  <c r="H554" i="15"/>
  <c r="K552" i="15"/>
  <c r="N552" i="15" s="1"/>
  <c r="J554" i="15"/>
  <c r="K554" i="15"/>
  <c r="N554" i="15" s="1"/>
  <c r="C759" i="15"/>
  <c r="K758" i="15" s="1"/>
  <c r="L758" i="15" s="1"/>
  <c r="V751" i="15"/>
  <c r="V655" i="15"/>
  <c r="V753" i="15"/>
  <c r="H653" i="15"/>
  <c r="V649" i="15"/>
  <c r="C755" i="15"/>
  <c r="K754" i="15" s="1"/>
  <c r="L754" i="15" s="1"/>
  <c r="V651" i="15"/>
  <c r="V653" i="15"/>
  <c r="V657" i="15"/>
  <c r="J651" i="15"/>
  <c r="H651" i="15"/>
  <c r="H649" i="15"/>
  <c r="J649" i="15"/>
  <c r="M653" i="15"/>
  <c r="L653" i="15"/>
  <c r="M651" i="15"/>
  <c r="L651" i="15"/>
  <c r="M657" i="15"/>
  <c r="L657" i="15"/>
  <c r="M649" i="15"/>
  <c r="L649" i="15"/>
  <c r="L655" i="15"/>
  <c r="M655" i="15"/>
  <c r="K651" i="15"/>
  <c r="N651" i="15" s="1"/>
  <c r="J653" i="15"/>
  <c r="H655" i="15"/>
  <c r="K653" i="15"/>
  <c r="N653" i="15" s="1"/>
  <c r="J655" i="15"/>
  <c r="H657" i="15"/>
  <c r="K655" i="15"/>
  <c r="N655" i="15" s="1"/>
  <c r="J657" i="15"/>
  <c r="K657" i="15"/>
  <c r="N657" i="15" s="1"/>
  <c r="V961" i="15"/>
  <c r="V963" i="15"/>
  <c r="H1174" i="15"/>
  <c r="V1174" i="15"/>
  <c r="V969" i="15"/>
  <c r="V757" i="15"/>
  <c r="J961" i="15"/>
  <c r="C751" i="15"/>
  <c r="K750" i="15" s="1"/>
  <c r="L751" i="15" s="1"/>
  <c r="V759" i="15"/>
  <c r="H755" i="15"/>
  <c r="J755" i="15"/>
  <c r="J753" i="15"/>
  <c r="H751" i="15"/>
  <c r="M753" i="15"/>
  <c r="Q753" i="15" s="1"/>
  <c r="K752" i="15"/>
  <c r="L752" i="15" s="1"/>
  <c r="I753" i="15"/>
  <c r="H759" i="15"/>
  <c r="J751" i="15"/>
  <c r="H757" i="15"/>
  <c r="J759" i="15"/>
  <c r="M961" i="15"/>
  <c r="L961" i="15"/>
  <c r="M963" i="15"/>
  <c r="L963" i="15"/>
  <c r="L965" i="15"/>
  <c r="Q965" i="15" s="1"/>
  <c r="V965" i="15"/>
  <c r="V1075" i="15"/>
  <c r="V967" i="15"/>
  <c r="V1077" i="15"/>
  <c r="H1077" i="15"/>
  <c r="K967" i="15"/>
  <c r="N967" i="15" s="1"/>
  <c r="H963" i="15"/>
  <c r="K963" i="15"/>
  <c r="N963" i="15" s="1"/>
  <c r="H961" i="15"/>
  <c r="M969" i="15"/>
  <c r="L969" i="15"/>
  <c r="J963" i="15"/>
  <c r="K965" i="15"/>
  <c r="N965" i="15" s="1"/>
  <c r="L967" i="15"/>
  <c r="Q967" i="15" s="1"/>
  <c r="H969" i="15"/>
  <c r="H967" i="15"/>
  <c r="J969" i="15"/>
  <c r="H965" i="15"/>
  <c r="J967" i="15"/>
  <c r="K969" i="15"/>
  <c r="N969" i="15" s="1"/>
  <c r="V1172" i="15"/>
  <c r="L1083" i="15"/>
  <c r="Q1083" i="15" s="1"/>
  <c r="V1176" i="15"/>
  <c r="V1079" i="15"/>
  <c r="V1178" i="15"/>
  <c r="V1081" i="15"/>
  <c r="V1180" i="15"/>
  <c r="V1083" i="15"/>
  <c r="H1081" i="15"/>
  <c r="H1079" i="15"/>
  <c r="K1077" i="15"/>
  <c r="N1077" i="15" s="1"/>
  <c r="H1075" i="15"/>
  <c r="K1075" i="15"/>
  <c r="N1075" i="15" s="1"/>
  <c r="M1077" i="15"/>
  <c r="L1077" i="15"/>
  <c r="M1075" i="15"/>
  <c r="L1075" i="15"/>
  <c r="M1079" i="15"/>
  <c r="L1079" i="15"/>
  <c r="M1081" i="15"/>
  <c r="J1075" i="15"/>
  <c r="K1079" i="15"/>
  <c r="N1079" i="15" s="1"/>
  <c r="J1081" i="15"/>
  <c r="H1083" i="15"/>
  <c r="K1081" i="15"/>
  <c r="N1081" i="15" s="1"/>
  <c r="J1083" i="15"/>
  <c r="K1083" i="15"/>
  <c r="N1083" i="15" s="1"/>
  <c r="W1176" i="15"/>
  <c r="J1174" i="15"/>
  <c r="W1172" i="15"/>
  <c r="H1172" i="15"/>
  <c r="J1172" i="15"/>
  <c r="M1176" i="15"/>
  <c r="L1176" i="15"/>
  <c r="M1174" i="15"/>
  <c r="L1174" i="15"/>
  <c r="M1180" i="15"/>
  <c r="L1180" i="15"/>
  <c r="M1172" i="15"/>
  <c r="L1172" i="15"/>
  <c r="M1178" i="15"/>
  <c r="Q1178" i="15" s="1"/>
  <c r="W1180" i="15"/>
  <c r="K1174" i="15"/>
  <c r="N1174" i="15" s="1"/>
  <c r="J1176" i="15"/>
  <c r="H1178" i="15"/>
  <c r="K1176" i="15"/>
  <c r="N1176" i="15" s="1"/>
  <c r="J1178" i="15"/>
  <c r="H1180" i="15"/>
  <c r="K1178" i="15"/>
  <c r="N1178" i="15" s="1"/>
  <c r="J1180" i="15"/>
  <c r="K1180" i="15"/>
  <c r="N1180" i="15" s="1"/>
  <c r="V556" i="15"/>
  <c r="V557" i="15"/>
  <c r="V558" i="15"/>
  <c r="V559" i="15"/>
  <c r="V560" i="15"/>
  <c r="V561" i="15"/>
  <c r="V562" i="15"/>
  <c r="V451" i="15"/>
  <c r="V452" i="15"/>
  <c r="V453" i="15"/>
  <c r="V454" i="15"/>
  <c r="V455" i="15"/>
  <c r="V456" i="15"/>
  <c r="V457" i="15"/>
  <c r="V458" i="15"/>
  <c r="V459" i="15"/>
  <c r="V461" i="15"/>
  <c r="Q856" i="15" l="1"/>
  <c r="Q969" i="15"/>
  <c r="Q858" i="15"/>
  <c r="Q864" i="15"/>
  <c r="R862" i="15"/>
  <c r="G862" i="15" s="1"/>
  <c r="R864" i="15"/>
  <c r="G864" i="15" s="1"/>
  <c r="R856" i="15"/>
  <c r="R860" i="15"/>
  <c r="G860" i="15" s="1"/>
  <c r="R858" i="15"/>
  <c r="G858" i="15" s="1"/>
  <c r="N180" i="15"/>
  <c r="L759" i="15"/>
  <c r="K759" i="15"/>
  <c r="N186" i="15"/>
  <c r="N178" i="15"/>
  <c r="M759" i="15"/>
  <c r="Q759" i="15" s="1"/>
  <c r="N184" i="15"/>
  <c r="N182" i="15"/>
  <c r="Q1075" i="15"/>
  <c r="Q961" i="15"/>
  <c r="R550" i="15"/>
  <c r="G550" i="15" s="1"/>
  <c r="R554" i="15"/>
  <c r="L393" i="15"/>
  <c r="L394" i="15" s="1"/>
  <c r="N394" i="15" s="1"/>
  <c r="Q550" i="15"/>
  <c r="Q649" i="15"/>
  <c r="L391" i="15"/>
  <c r="L392" i="15" s="1"/>
  <c r="N392" i="15" s="1"/>
  <c r="L397" i="15"/>
  <c r="L398" i="15" s="1"/>
  <c r="L395" i="15"/>
  <c r="L396" i="15" s="1"/>
  <c r="Q963" i="15"/>
  <c r="L756" i="15"/>
  <c r="Q653" i="15"/>
  <c r="M757" i="15"/>
  <c r="Q757" i="15" s="1"/>
  <c r="L757" i="15"/>
  <c r="N757" i="15" s="1"/>
  <c r="R552" i="15"/>
  <c r="G552" i="15" s="1"/>
  <c r="R548" i="15"/>
  <c r="G548" i="15" s="1"/>
  <c r="Q548" i="15"/>
  <c r="Q546" i="15"/>
  <c r="Q554" i="15"/>
  <c r="R546" i="15"/>
  <c r="G546" i="15" s="1"/>
  <c r="L755" i="15"/>
  <c r="Q651" i="15"/>
  <c r="K755" i="15"/>
  <c r="M755" i="15"/>
  <c r="Q755" i="15" s="1"/>
  <c r="K751" i="15"/>
  <c r="N751" i="15" s="1"/>
  <c r="R657" i="15"/>
  <c r="Q655" i="15"/>
  <c r="R651" i="15"/>
  <c r="R649" i="15"/>
  <c r="G649" i="15" s="1"/>
  <c r="R655" i="15"/>
  <c r="G655" i="15" s="1"/>
  <c r="R653" i="15"/>
  <c r="G653" i="15" s="1"/>
  <c r="Q657" i="15"/>
  <c r="R963" i="15"/>
  <c r="G963" i="15" s="1"/>
  <c r="L753" i="15"/>
  <c r="M751" i="15"/>
  <c r="Q751" i="15" s="1"/>
  <c r="Q1174" i="15"/>
  <c r="L750" i="15"/>
  <c r="Q1079" i="15"/>
  <c r="R961" i="15"/>
  <c r="G961" i="15" s="1"/>
  <c r="K753" i="15"/>
  <c r="R1075" i="15"/>
  <c r="G1075" i="15" s="1"/>
  <c r="R1077" i="15"/>
  <c r="G1077" i="15" s="1"/>
  <c r="R965" i="15"/>
  <c r="G965" i="15" s="1"/>
  <c r="R967" i="15"/>
  <c r="G967" i="15" s="1"/>
  <c r="R969" i="15"/>
  <c r="Q1176" i="15"/>
  <c r="R1081" i="15"/>
  <c r="G1081" i="15" s="1"/>
  <c r="Q1180" i="15"/>
  <c r="R1079" i="15"/>
  <c r="Q1081" i="15"/>
  <c r="R1083" i="15"/>
  <c r="Q1077" i="15"/>
  <c r="R1180" i="15"/>
  <c r="Q1172" i="15"/>
  <c r="R1178" i="15"/>
  <c r="R1174" i="15"/>
  <c r="G1174" i="15" s="1"/>
  <c r="R1172" i="15"/>
  <c r="G1172" i="15" s="1"/>
  <c r="R1176" i="15"/>
  <c r="V40" i="15"/>
  <c r="N759" i="15" l="1"/>
  <c r="R759" i="15"/>
  <c r="P758" i="15" s="1"/>
  <c r="G759" i="15" s="1"/>
  <c r="N755" i="15"/>
  <c r="N396" i="15"/>
  <c r="N398" i="15"/>
  <c r="R757" i="15"/>
  <c r="P756" i="15" s="1"/>
  <c r="G757" i="15" s="1"/>
  <c r="N753" i="15"/>
  <c r="R751" i="15"/>
  <c r="P750" i="15" s="1"/>
  <c r="G751" i="15" s="1"/>
  <c r="R755" i="15"/>
  <c r="P754" i="15" s="1"/>
  <c r="G755" i="15" s="1"/>
  <c r="R753" i="15"/>
  <c r="G56" i="15" l="1"/>
  <c r="H56" i="15"/>
  <c r="I56" i="15"/>
  <c r="J890" i="15" l="1"/>
  <c r="AC1169" i="15" l="1"/>
  <c r="AB1169" i="15"/>
  <c r="C1169" i="15"/>
  <c r="R1168" i="15"/>
  <c r="W1169" i="15"/>
  <c r="AC1167" i="15"/>
  <c r="AB1167" i="15"/>
  <c r="C1167" i="15"/>
  <c r="R1166" i="15"/>
  <c r="W1167" i="15"/>
  <c r="AC1165" i="15"/>
  <c r="AB1165" i="15"/>
  <c r="C1165" i="15"/>
  <c r="R1164" i="15"/>
  <c r="W1165" i="15"/>
  <c r="AC1163" i="15"/>
  <c r="AB1163" i="15"/>
  <c r="C1163" i="15"/>
  <c r="R1162" i="15"/>
  <c r="W1163" i="15"/>
  <c r="AC1161" i="15"/>
  <c r="AB1161" i="15"/>
  <c r="C1161" i="15"/>
  <c r="R1160" i="15"/>
  <c r="W1161" i="15"/>
  <c r="AC1159" i="15"/>
  <c r="AB1159" i="15"/>
  <c r="E1159" i="15"/>
  <c r="C1159" i="15" s="1"/>
  <c r="D1159" i="15"/>
  <c r="R1158" i="15" s="1"/>
  <c r="B1159" i="15"/>
  <c r="J1159" i="15" s="1"/>
  <c r="AC1157" i="15"/>
  <c r="AB1157" i="15"/>
  <c r="E1157" i="15"/>
  <c r="C1157" i="15" s="1"/>
  <c r="M1157" i="15" s="1"/>
  <c r="D1157" i="15"/>
  <c r="R1156" i="15" s="1"/>
  <c r="B1157" i="15"/>
  <c r="W1157" i="15" s="1"/>
  <c r="AC1155" i="15"/>
  <c r="AB1155" i="15"/>
  <c r="E1155" i="15"/>
  <c r="C1155" i="15" s="1"/>
  <c r="D1155" i="15"/>
  <c r="R1154" i="15" s="1"/>
  <c r="B1155" i="15"/>
  <c r="AC1153" i="15"/>
  <c r="AB1153" i="15"/>
  <c r="E1153" i="15"/>
  <c r="C1153" i="15" s="1"/>
  <c r="D1153" i="15"/>
  <c r="R1152" i="15" s="1"/>
  <c r="B1153" i="15"/>
  <c r="AC1151" i="15"/>
  <c r="AB1151" i="15"/>
  <c r="E1151" i="15"/>
  <c r="C1151" i="15" s="1"/>
  <c r="D1151" i="15"/>
  <c r="R1150" i="15" s="1"/>
  <c r="B1151" i="15"/>
  <c r="W1151" i="15" s="1"/>
  <c r="AC1149" i="15"/>
  <c r="AB1149" i="15"/>
  <c r="E1149" i="15"/>
  <c r="C1149" i="15" s="1"/>
  <c r="D1149" i="15"/>
  <c r="R1148" i="15" s="1"/>
  <c r="B1149" i="15"/>
  <c r="AC1147" i="15"/>
  <c r="AB1147" i="15"/>
  <c r="E1147" i="15"/>
  <c r="C1147" i="15" s="1"/>
  <c r="D1147" i="15"/>
  <c r="R1146" i="15" s="1"/>
  <c r="B1147" i="15"/>
  <c r="W1147" i="15" s="1"/>
  <c r="AC1145" i="15"/>
  <c r="AB1145" i="15"/>
  <c r="E1145" i="15"/>
  <c r="C1145" i="15" s="1"/>
  <c r="D1145" i="15"/>
  <c r="R1144" i="15" s="1"/>
  <c r="B1145" i="15"/>
  <c r="AC1143" i="15"/>
  <c r="AB1143" i="15"/>
  <c r="E1143" i="15"/>
  <c r="C1143" i="15" s="1"/>
  <c r="M1143" i="15" s="1"/>
  <c r="D1143" i="15"/>
  <c r="R1142" i="15" s="1"/>
  <c r="B1143" i="15"/>
  <c r="AC1141" i="15"/>
  <c r="AB1141" i="15"/>
  <c r="E1141" i="15"/>
  <c r="C1141" i="15" s="1"/>
  <c r="D1141" i="15"/>
  <c r="R1140" i="15" s="1"/>
  <c r="B1141" i="15"/>
  <c r="W1141" i="15" s="1"/>
  <c r="AC1139" i="15"/>
  <c r="AB1139" i="15"/>
  <c r="E1139" i="15"/>
  <c r="C1139" i="15" s="1"/>
  <c r="M1139" i="15" s="1"/>
  <c r="D1139" i="15"/>
  <c r="R1138" i="15" s="1"/>
  <c r="B1139" i="15"/>
  <c r="K1139" i="15" s="1"/>
  <c r="N1139" i="15" s="1"/>
  <c r="AC1137" i="15"/>
  <c r="AB1137" i="15"/>
  <c r="E1137" i="15"/>
  <c r="C1137" i="15" s="1"/>
  <c r="D1137" i="15"/>
  <c r="R1136" i="15" s="1"/>
  <c r="B1137" i="15"/>
  <c r="K1137" i="15" s="1"/>
  <c r="N1137" i="15" s="1"/>
  <c r="AC1135" i="15"/>
  <c r="AB1135" i="15"/>
  <c r="E1135" i="15"/>
  <c r="C1135" i="15" s="1"/>
  <c r="M1135" i="15" s="1"/>
  <c r="D1135" i="15"/>
  <c r="R1134" i="15" s="1"/>
  <c r="B1135" i="15"/>
  <c r="W1135" i="15" s="1"/>
  <c r="AC1133" i="15"/>
  <c r="AB1133" i="15"/>
  <c r="E1133" i="15"/>
  <c r="C1133" i="15" s="1"/>
  <c r="D1133" i="15"/>
  <c r="R1132" i="15" s="1"/>
  <c r="B1133" i="15"/>
  <c r="H1133" i="15" s="1"/>
  <c r="AC1131" i="15"/>
  <c r="AB1131" i="15"/>
  <c r="E1131" i="15"/>
  <c r="C1131" i="15" s="1"/>
  <c r="D1131" i="15"/>
  <c r="R1130" i="15" s="1"/>
  <c r="B1131" i="15"/>
  <c r="W1131" i="15" s="1"/>
  <c r="AC1129" i="15"/>
  <c r="AB1129" i="15"/>
  <c r="E1129" i="15"/>
  <c r="C1129" i="15" s="1"/>
  <c r="D1129" i="15"/>
  <c r="R1128" i="15" s="1"/>
  <c r="B1129" i="15"/>
  <c r="AC1127" i="15"/>
  <c r="AB1127" i="15"/>
  <c r="E1127" i="15"/>
  <c r="C1127" i="15" s="1"/>
  <c r="D1127" i="15"/>
  <c r="R1126" i="15" s="1"/>
  <c r="B1127" i="15"/>
  <c r="AC1125" i="15"/>
  <c r="AB1125" i="15"/>
  <c r="E1125" i="15"/>
  <c r="C1125" i="15" s="1"/>
  <c r="D1125" i="15"/>
  <c r="R1124" i="15" s="1"/>
  <c r="B1125" i="15"/>
  <c r="H1125" i="15" s="1"/>
  <c r="AC1123" i="15"/>
  <c r="E1123" i="15"/>
  <c r="C1123" i="15" s="1"/>
  <c r="M1123" i="15" s="1"/>
  <c r="D1123" i="15"/>
  <c r="R1122" i="15" s="1"/>
  <c r="B1123" i="15"/>
  <c r="W1123" i="15" s="1"/>
  <c r="AC1121" i="15"/>
  <c r="E1121" i="15"/>
  <c r="C1121" i="15" s="1"/>
  <c r="D1121" i="15"/>
  <c r="R1120" i="15" s="1"/>
  <c r="B1121" i="15"/>
  <c r="K1121" i="15" s="1"/>
  <c r="N1121" i="15" s="1"/>
  <c r="AC1119" i="15"/>
  <c r="E1119" i="15"/>
  <c r="C1119" i="15" s="1"/>
  <c r="D1119" i="15"/>
  <c r="R1118" i="15" s="1"/>
  <c r="B1119" i="15"/>
  <c r="W1119" i="15" s="1"/>
  <c r="AC1117" i="15"/>
  <c r="E1117" i="15"/>
  <c r="C1117" i="15" s="1"/>
  <c r="D1117" i="15"/>
  <c r="R1116" i="15" s="1"/>
  <c r="B1117" i="15"/>
  <c r="J1117" i="15" s="1"/>
  <c r="AC1115" i="15"/>
  <c r="E1115" i="15"/>
  <c r="C1115" i="15" s="1"/>
  <c r="D1115" i="15"/>
  <c r="R1114" i="15" s="1"/>
  <c r="B1115" i="15"/>
  <c r="W1115" i="15" s="1"/>
  <c r="AC1113" i="15"/>
  <c r="E1113" i="15"/>
  <c r="C1113" i="15" s="1"/>
  <c r="D1113" i="15"/>
  <c r="R1112" i="15" s="1"/>
  <c r="B1113" i="15"/>
  <c r="H1113" i="15" s="1"/>
  <c r="AC1111" i="15"/>
  <c r="E1111" i="15"/>
  <c r="C1111" i="15" s="1"/>
  <c r="M1111" i="15" s="1"/>
  <c r="D1111" i="15"/>
  <c r="R1110" i="15" s="1"/>
  <c r="B1111" i="15"/>
  <c r="J1111" i="15" s="1"/>
  <c r="AC1109" i="15"/>
  <c r="E1109" i="15"/>
  <c r="C1109" i="15" s="1"/>
  <c r="L1109" i="15" s="1"/>
  <c r="D1109" i="15"/>
  <c r="R1108" i="15" s="1"/>
  <c r="B1109" i="15"/>
  <c r="AC1107" i="15"/>
  <c r="E1107" i="15"/>
  <c r="C1107" i="15" s="1"/>
  <c r="D1107" i="15"/>
  <c r="R1106" i="15" s="1"/>
  <c r="B1107" i="15"/>
  <c r="W1107" i="15" s="1"/>
  <c r="AC1105" i="15"/>
  <c r="E1105" i="15"/>
  <c r="C1105" i="15" s="1"/>
  <c r="D1105" i="15"/>
  <c r="R1104" i="15" s="1"/>
  <c r="B1105" i="15"/>
  <c r="W1105" i="15" s="1"/>
  <c r="AC1103" i="15"/>
  <c r="E1103" i="15"/>
  <c r="C1103" i="15" s="1"/>
  <c r="L1103" i="15" s="1"/>
  <c r="D1103" i="15"/>
  <c r="R1102" i="15" s="1"/>
  <c r="B1103" i="15"/>
  <c r="K1103" i="15" s="1"/>
  <c r="N1103" i="15" s="1"/>
  <c r="AC1101" i="15"/>
  <c r="E1101" i="15"/>
  <c r="C1101" i="15" s="1"/>
  <c r="D1101" i="15"/>
  <c r="R1100" i="15" s="1"/>
  <c r="B1101" i="15"/>
  <c r="AC1099" i="15"/>
  <c r="E1099" i="15"/>
  <c r="C1099" i="15" s="1"/>
  <c r="D1099" i="15"/>
  <c r="R1098" i="15" s="1"/>
  <c r="B1099" i="15"/>
  <c r="AC1097" i="15"/>
  <c r="E1097" i="15"/>
  <c r="C1097" i="15" s="1"/>
  <c r="D1097" i="15"/>
  <c r="R1096" i="15" s="1"/>
  <c r="B1097" i="15"/>
  <c r="AC1095" i="15"/>
  <c r="E1095" i="15"/>
  <c r="C1095" i="15" s="1"/>
  <c r="D1095" i="15"/>
  <c r="R1094" i="15" s="1"/>
  <c r="B1095" i="15"/>
  <c r="H1095" i="15" s="1"/>
  <c r="AC1093" i="15"/>
  <c r="E1093" i="15"/>
  <c r="C1093" i="15" s="1"/>
  <c r="D1093" i="15"/>
  <c r="R1092" i="15" s="1"/>
  <c r="B1093" i="15"/>
  <c r="AC1091" i="15"/>
  <c r="E1091" i="15"/>
  <c r="C1091" i="15" s="1"/>
  <c r="D1091" i="15"/>
  <c r="R1090" i="15" s="1"/>
  <c r="B1091" i="15"/>
  <c r="K1091" i="15" s="1"/>
  <c r="N1091" i="15" s="1"/>
  <c r="V1086" i="15"/>
  <c r="U1086" i="15"/>
  <c r="AC1073" i="15"/>
  <c r="C1073" i="15"/>
  <c r="R1072" i="15"/>
  <c r="B1073" i="15"/>
  <c r="AC1071" i="15"/>
  <c r="C1071" i="15"/>
  <c r="M1071" i="15" s="1"/>
  <c r="R1070" i="15"/>
  <c r="B1071" i="15"/>
  <c r="J1071" i="15" s="1"/>
  <c r="AC1069" i="15"/>
  <c r="C1069" i="15"/>
  <c r="M1069" i="15" s="1"/>
  <c r="R1068" i="15"/>
  <c r="B1069" i="15"/>
  <c r="K1069" i="15" s="1"/>
  <c r="N1069" i="15" s="1"/>
  <c r="AC1067" i="15"/>
  <c r="C1067" i="15"/>
  <c r="M1067" i="15" s="1"/>
  <c r="R1066" i="15"/>
  <c r="B1067" i="15"/>
  <c r="AC1065" i="15"/>
  <c r="C1065" i="15"/>
  <c r="R1064" i="15"/>
  <c r="B1065" i="15"/>
  <c r="H1065" i="15" s="1"/>
  <c r="AC1063" i="15"/>
  <c r="C1063" i="15"/>
  <c r="R1062" i="15"/>
  <c r="B1063" i="15"/>
  <c r="J1063" i="15" s="1"/>
  <c r="AC1061" i="15"/>
  <c r="E1061" i="15"/>
  <c r="C1061" i="15" s="1"/>
  <c r="D1061" i="15"/>
  <c r="R1060" i="15" s="1"/>
  <c r="B1061" i="15"/>
  <c r="K1061" i="15" s="1"/>
  <c r="N1061" i="15" s="1"/>
  <c r="AC1059" i="15"/>
  <c r="E1059" i="15"/>
  <c r="C1059" i="15" s="1"/>
  <c r="M1059" i="15" s="1"/>
  <c r="D1059" i="15"/>
  <c r="R1058" i="15" s="1"/>
  <c r="B1059" i="15"/>
  <c r="H1059" i="15" s="1"/>
  <c r="AC1057" i="15"/>
  <c r="E1057" i="15"/>
  <c r="C1057" i="15" s="1"/>
  <c r="L1057" i="15" s="1"/>
  <c r="D1057" i="15"/>
  <c r="R1056" i="15" s="1"/>
  <c r="B1057" i="15"/>
  <c r="K1057" i="15" s="1"/>
  <c r="N1057" i="15" s="1"/>
  <c r="AC1055" i="15"/>
  <c r="E1055" i="15"/>
  <c r="C1055" i="15" s="1"/>
  <c r="D1055" i="15"/>
  <c r="R1054" i="15" s="1"/>
  <c r="B1055" i="15"/>
  <c r="AC1053" i="15"/>
  <c r="E1053" i="15"/>
  <c r="C1053" i="15" s="1"/>
  <c r="D1053" i="15"/>
  <c r="R1052" i="15" s="1"/>
  <c r="B1053" i="15"/>
  <c r="K1053" i="15" s="1"/>
  <c r="N1053" i="15" s="1"/>
  <c r="AC1051" i="15"/>
  <c r="E1051" i="15"/>
  <c r="C1051" i="15" s="1"/>
  <c r="D1051" i="15"/>
  <c r="R1050" i="15" s="1"/>
  <c r="B1051" i="15"/>
  <c r="J1051" i="15" s="1"/>
  <c r="AC1049" i="15"/>
  <c r="E1049" i="15"/>
  <c r="C1049" i="15" s="1"/>
  <c r="D1049" i="15"/>
  <c r="R1048" i="15" s="1"/>
  <c r="B1049" i="15"/>
  <c r="K1049" i="15" s="1"/>
  <c r="N1049" i="15" s="1"/>
  <c r="AC1047" i="15"/>
  <c r="E1047" i="15"/>
  <c r="C1047" i="15" s="1"/>
  <c r="D1047" i="15"/>
  <c r="R1046" i="15" s="1"/>
  <c r="B1047" i="15"/>
  <c r="J1047" i="15" s="1"/>
  <c r="AC1045" i="15"/>
  <c r="E1045" i="15"/>
  <c r="C1045" i="15" s="1"/>
  <c r="D1045" i="15"/>
  <c r="R1044" i="15" s="1"/>
  <c r="B1045" i="15"/>
  <c r="H1045" i="15" s="1"/>
  <c r="AC1043" i="15"/>
  <c r="E1043" i="15"/>
  <c r="C1043" i="15" s="1"/>
  <c r="D1043" i="15"/>
  <c r="R1042" i="15" s="1"/>
  <c r="B1043" i="15"/>
  <c r="AC1041" i="15"/>
  <c r="E1041" i="15"/>
  <c r="C1041" i="15" s="1"/>
  <c r="D1041" i="15"/>
  <c r="R1040" i="15" s="1"/>
  <c r="B1041" i="15"/>
  <c r="AC1039" i="15"/>
  <c r="E1039" i="15"/>
  <c r="C1039" i="15" s="1"/>
  <c r="D1039" i="15"/>
  <c r="R1038" i="15" s="1"/>
  <c r="B1039" i="15"/>
  <c r="AC1037" i="15"/>
  <c r="E1037" i="15"/>
  <c r="C1037" i="15" s="1"/>
  <c r="D1037" i="15"/>
  <c r="R1036" i="15" s="1"/>
  <c r="B1037" i="15"/>
  <c r="AC1035" i="15"/>
  <c r="E1035" i="15"/>
  <c r="C1035" i="15" s="1"/>
  <c r="D1035" i="15"/>
  <c r="R1034" i="15" s="1"/>
  <c r="B1035" i="15"/>
  <c r="J1035" i="15" s="1"/>
  <c r="AC1033" i="15"/>
  <c r="E1033" i="15"/>
  <c r="C1033" i="15" s="1"/>
  <c r="D1033" i="15"/>
  <c r="R1032" i="15" s="1"/>
  <c r="B1033" i="15"/>
  <c r="K1033" i="15" s="1"/>
  <c r="N1033" i="15" s="1"/>
  <c r="AC1031" i="15"/>
  <c r="E1031" i="15"/>
  <c r="C1031" i="15" s="1"/>
  <c r="M1031" i="15" s="1"/>
  <c r="D1031" i="15"/>
  <c r="R1030" i="15" s="1"/>
  <c r="B1031" i="15"/>
  <c r="AC1029" i="15"/>
  <c r="E1029" i="15"/>
  <c r="C1029" i="15" s="1"/>
  <c r="M1029" i="15" s="1"/>
  <c r="D1029" i="15"/>
  <c r="R1028" i="15" s="1"/>
  <c r="B1029" i="15"/>
  <c r="AC1027" i="15"/>
  <c r="E1027" i="15"/>
  <c r="C1027" i="15" s="1"/>
  <c r="L1027" i="15" s="1"/>
  <c r="D1027" i="15"/>
  <c r="R1026" i="15" s="1"/>
  <c r="B1027" i="15"/>
  <c r="AC1025" i="15"/>
  <c r="E1025" i="15"/>
  <c r="C1025" i="15" s="1"/>
  <c r="D1025" i="15"/>
  <c r="R1024" i="15" s="1"/>
  <c r="B1025" i="15"/>
  <c r="AC1023" i="15"/>
  <c r="E1023" i="15"/>
  <c r="C1023" i="15" s="1"/>
  <c r="L1023" i="15" s="1"/>
  <c r="D1023" i="15"/>
  <c r="R1022" i="15" s="1"/>
  <c r="B1023" i="15"/>
  <c r="AC1021" i="15"/>
  <c r="E1021" i="15"/>
  <c r="C1021" i="15" s="1"/>
  <c r="L1021" i="15" s="1"/>
  <c r="D1021" i="15"/>
  <c r="R1020" i="15" s="1"/>
  <c r="B1021" i="15"/>
  <c r="AC1019" i="15"/>
  <c r="E1019" i="15"/>
  <c r="C1019" i="15" s="1"/>
  <c r="D1019" i="15"/>
  <c r="R1018" i="15" s="1"/>
  <c r="B1019" i="15"/>
  <c r="J1019" i="15" s="1"/>
  <c r="AC1017" i="15"/>
  <c r="E1017" i="15"/>
  <c r="C1017" i="15" s="1"/>
  <c r="D1017" i="15"/>
  <c r="R1016" i="15" s="1"/>
  <c r="B1017" i="15"/>
  <c r="AC1015" i="15"/>
  <c r="E1015" i="15"/>
  <c r="C1015" i="15" s="1"/>
  <c r="D1015" i="15"/>
  <c r="R1014" i="15" s="1"/>
  <c r="B1015" i="15"/>
  <c r="AC1013" i="15"/>
  <c r="E1013" i="15"/>
  <c r="C1013" i="15" s="1"/>
  <c r="D1013" i="15"/>
  <c r="R1012" i="15" s="1"/>
  <c r="B1013" i="15"/>
  <c r="K1013" i="15" s="1"/>
  <c r="N1013" i="15" s="1"/>
  <c r="AC1011" i="15"/>
  <c r="E1011" i="15"/>
  <c r="C1011" i="15" s="1"/>
  <c r="D1011" i="15"/>
  <c r="R1010" i="15" s="1"/>
  <c r="B1011" i="15"/>
  <c r="AC1009" i="15"/>
  <c r="E1009" i="15"/>
  <c r="C1009" i="15" s="1"/>
  <c r="D1009" i="15"/>
  <c r="R1008" i="15" s="1"/>
  <c r="B1009" i="15"/>
  <c r="K1009" i="15" s="1"/>
  <c r="N1009" i="15" s="1"/>
  <c r="AC1007" i="15"/>
  <c r="E1007" i="15"/>
  <c r="C1007" i="15" s="1"/>
  <c r="D1007" i="15"/>
  <c r="R1006" i="15" s="1"/>
  <c r="B1007" i="15"/>
  <c r="AC1005" i="15"/>
  <c r="E1005" i="15"/>
  <c r="C1005" i="15" s="1"/>
  <c r="D1005" i="15"/>
  <c r="R1004" i="15" s="1"/>
  <c r="B1005" i="15"/>
  <c r="AC1003" i="15"/>
  <c r="E1003" i="15"/>
  <c r="C1003" i="15" s="1"/>
  <c r="M1003" i="15" s="1"/>
  <c r="D1003" i="15"/>
  <c r="R1002" i="15" s="1"/>
  <c r="B1003" i="15"/>
  <c r="AC1001" i="15"/>
  <c r="E1001" i="15"/>
  <c r="C1001" i="15" s="1"/>
  <c r="L1001" i="15" s="1"/>
  <c r="D1001" i="15"/>
  <c r="R1000" i="15" s="1"/>
  <c r="B1001" i="15"/>
  <c r="AC999" i="15"/>
  <c r="E999" i="15"/>
  <c r="C999" i="15" s="1"/>
  <c r="D999" i="15"/>
  <c r="R998" i="15" s="1"/>
  <c r="B999" i="15"/>
  <c r="K999" i="15" s="1"/>
  <c r="N999" i="15" s="1"/>
  <c r="AC997" i="15"/>
  <c r="E997" i="15"/>
  <c r="C997" i="15" s="1"/>
  <c r="M997" i="15" s="1"/>
  <c r="D997" i="15"/>
  <c r="R996" i="15" s="1"/>
  <c r="B997" i="15"/>
  <c r="K997" i="15" s="1"/>
  <c r="N997" i="15" s="1"/>
  <c r="AC995" i="15"/>
  <c r="E995" i="15"/>
  <c r="C995" i="15" s="1"/>
  <c r="M995" i="15" s="1"/>
  <c r="D995" i="15"/>
  <c r="R994" i="15" s="1"/>
  <c r="B995" i="15"/>
  <c r="AC993" i="15"/>
  <c r="E993" i="15"/>
  <c r="C993" i="15" s="1"/>
  <c r="L993" i="15" s="1"/>
  <c r="D993" i="15"/>
  <c r="R992" i="15" s="1"/>
  <c r="B993" i="15"/>
  <c r="AC991" i="15"/>
  <c r="E991" i="15"/>
  <c r="C991" i="15" s="1"/>
  <c r="L991" i="15" s="1"/>
  <c r="D991" i="15"/>
  <c r="R990" i="15" s="1"/>
  <c r="B991" i="15"/>
  <c r="J991" i="15" s="1"/>
  <c r="AC989" i="15"/>
  <c r="E989" i="15"/>
  <c r="C989" i="15" s="1"/>
  <c r="D989" i="15"/>
  <c r="R988" i="15" s="1"/>
  <c r="B989" i="15"/>
  <c r="K989" i="15" s="1"/>
  <c r="N989" i="15" s="1"/>
  <c r="AC987" i="15"/>
  <c r="E987" i="15"/>
  <c r="C987" i="15" s="1"/>
  <c r="D987" i="15"/>
  <c r="R986" i="15" s="1"/>
  <c r="B987" i="15"/>
  <c r="AC985" i="15"/>
  <c r="E985" i="15"/>
  <c r="C985" i="15" s="1"/>
  <c r="L985" i="15" s="1"/>
  <c r="D985" i="15"/>
  <c r="R984" i="15" s="1"/>
  <c r="B985" i="15"/>
  <c r="K985" i="15" s="1"/>
  <c r="N985" i="15" s="1"/>
  <c r="U980" i="15"/>
  <c r="V978" i="15"/>
  <c r="V977" i="15"/>
  <c r="V976" i="15"/>
  <c r="V975" i="15"/>
  <c r="V974" i="15"/>
  <c r="V973" i="15"/>
  <c r="V972" i="15"/>
  <c r="AC959" i="15"/>
  <c r="C959" i="15"/>
  <c r="M959" i="15" s="1"/>
  <c r="R958" i="15"/>
  <c r="B959" i="15"/>
  <c r="AC958" i="15"/>
  <c r="M958" i="15"/>
  <c r="L958" i="15"/>
  <c r="K958" i="15"/>
  <c r="J958" i="15"/>
  <c r="H958" i="15"/>
  <c r="AC957" i="15"/>
  <c r="C957" i="15"/>
  <c r="R956" i="15"/>
  <c r="B957" i="15"/>
  <c r="J957" i="15" s="1"/>
  <c r="AC956" i="15"/>
  <c r="M956" i="15"/>
  <c r="L956" i="15"/>
  <c r="K956" i="15"/>
  <c r="J956" i="15"/>
  <c r="H956" i="15"/>
  <c r="AC955" i="15"/>
  <c r="C955" i="15"/>
  <c r="R954" i="15"/>
  <c r="B955" i="15"/>
  <c r="K955" i="15" s="1"/>
  <c r="N955" i="15" s="1"/>
  <c r="AC954" i="15"/>
  <c r="M954" i="15"/>
  <c r="L954" i="15"/>
  <c r="K954" i="15"/>
  <c r="J954" i="15"/>
  <c r="H954" i="15"/>
  <c r="AC953" i="15"/>
  <c r="C953" i="15"/>
  <c r="R952" i="15"/>
  <c r="B953" i="15"/>
  <c r="H953" i="15" s="1"/>
  <c r="AC952" i="15"/>
  <c r="M952" i="15"/>
  <c r="L952" i="15"/>
  <c r="K952" i="15"/>
  <c r="J952" i="15"/>
  <c r="H952" i="15"/>
  <c r="AC951" i="15"/>
  <c r="C951" i="15"/>
  <c r="L951" i="15" s="1"/>
  <c r="R950" i="15"/>
  <c r="B951" i="15"/>
  <c r="AC950" i="15"/>
  <c r="M950" i="15"/>
  <c r="L950" i="15"/>
  <c r="K950" i="15"/>
  <c r="J950" i="15"/>
  <c r="H950" i="15"/>
  <c r="AC949" i="15"/>
  <c r="E949" i="15"/>
  <c r="C949" i="15" s="1"/>
  <c r="M949" i="15" s="1"/>
  <c r="D949" i="15"/>
  <c r="R948" i="15" s="1"/>
  <c r="B949" i="15"/>
  <c r="AC948" i="15"/>
  <c r="M948" i="15"/>
  <c r="L948" i="15"/>
  <c r="K948" i="15"/>
  <c r="J948" i="15"/>
  <c r="H948" i="15"/>
  <c r="AC947" i="15"/>
  <c r="E947" i="15"/>
  <c r="C947" i="15" s="1"/>
  <c r="L947" i="15" s="1"/>
  <c r="D947" i="15"/>
  <c r="R946" i="15" s="1"/>
  <c r="B947" i="15"/>
  <c r="H947" i="15" s="1"/>
  <c r="AC946" i="15"/>
  <c r="M946" i="15"/>
  <c r="L946" i="15"/>
  <c r="K946" i="15"/>
  <c r="J946" i="15"/>
  <c r="H946" i="15"/>
  <c r="AC945" i="15"/>
  <c r="E945" i="15"/>
  <c r="C945" i="15" s="1"/>
  <c r="D945" i="15"/>
  <c r="R944" i="15" s="1"/>
  <c r="B945" i="15"/>
  <c r="J945" i="15" s="1"/>
  <c r="AC944" i="15"/>
  <c r="M944" i="15"/>
  <c r="L944" i="15"/>
  <c r="K944" i="15"/>
  <c r="J944" i="15"/>
  <c r="H944" i="15"/>
  <c r="AC943" i="15"/>
  <c r="E943" i="15"/>
  <c r="C943" i="15" s="1"/>
  <c r="M943" i="15" s="1"/>
  <c r="D943" i="15"/>
  <c r="R942" i="15" s="1"/>
  <c r="B943" i="15"/>
  <c r="AC942" i="15"/>
  <c r="M942" i="15"/>
  <c r="L942" i="15"/>
  <c r="K942" i="15"/>
  <c r="J942" i="15"/>
  <c r="H942" i="15"/>
  <c r="AC941" i="15"/>
  <c r="E941" i="15"/>
  <c r="C941" i="15" s="1"/>
  <c r="D941" i="15"/>
  <c r="R940" i="15" s="1"/>
  <c r="B941" i="15"/>
  <c r="K941" i="15" s="1"/>
  <c r="AC940" i="15"/>
  <c r="M940" i="15"/>
  <c r="L940" i="15"/>
  <c r="K940" i="15"/>
  <c r="J940" i="15"/>
  <c r="H940" i="15"/>
  <c r="AC939" i="15"/>
  <c r="E939" i="15"/>
  <c r="C939" i="15" s="1"/>
  <c r="D939" i="15"/>
  <c r="R938" i="15" s="1"/>
  <c r="B939" i="15"/>
  <c r="K939" i="15" s="1"/>
  <c r="N939" i="15" s="1"/>
  <c r="AC938" i="15"/>
  <c r="M938" i="15"/>
  <c r="L938" i="15"/>
  <c r="K938" i="15"/>
  <c r="J938" i="15"/>
  <c r="H938" i="15"/>
  <c r="AC937" i="15"/>
  <c r="E937" i="15"/>
  <c r="C937" i="15" s="1"/>
  <c r="D937" i="15"/>
  <c r="R936" i="15" s="1"/>
  <c r="B937" i="15"/>
  <c r="H937" i="15" s="1"/>
  <c r="AC936" i="15"/>
  <c r="M936" i="15"/>
  <c r="L936" i="15"/>
  <c r="K936" i="15"/>
  <c r="J936" i="15"/>
  <c r="H936" i="15"/>
  <c r="AC935" i="15"/>
  <c r="E935" i="15"/>
  <c r="C935" i="15" s="1"/>
  <c r="D935" i="15"/>
  <c r="R934" i="15" s="1"/>
  <c r="B935" i="15"/>
  <c r="AC934" i="15"/>
  <c r="M934" i="15"/>
  <c r="L934" i="15"/>
  <c r="K934" i="15"/>
  <c r="J934" i="15"/>
  <c r="H934" i="15"/>
  <c r="AC933" i="15"/>
  <c r="E933" i="15"/>
  <c r="C933" i="15" s="1"/>
  <c r="M933" i="15" s="1"/>
  <c r="D933" i="15"/>
  <c r="R932" i="15" s="1"/>
  <c r="B933" i="15"/>
  <c r="AC932" i="15"/>
  <c r="M932" i="15"/>
  <c r="L932" i="15"/>
  <c r="K932" i="15"/>
  <c r="J932" i="15"/>
  <c r="H932" i="15"/>
  <c r="AC931" i="15"/>
  <c r="E931" i="15"/>
  <c r="C931" i="15" s="1"/>
  <c r="D931" i="15"/>
  <c r="R930" i="15" s="1"/>
  <c r="B931" i="15"/>
  <c r="K931" i="15" s="1"/>
  <c r="N931" i="15" s="1"/>
  <c r="AC930" i="15"/>
  <c r="M930" i="15"/>
  <c r="L930" i="15"/>
  <c r="K930" i="15"/>
  <c r="J930" i="15"/>
  <c r="H930" i="15"/>
  <c r="AC929" i="15"/>
  <c r="E929" i="15"/>
  <c r="C929" i="15" s="1"/>
  <c r="D929" i="15"/>
  <c r="R928" i="15" s="1"/>
  <c r="B929" i="15"/>
  <c r="AC928" i="15"/>
  <c r="M928" i="15"/>
  <c r="L928" i="15"/>
  <c r="K928" i="15"/>
  <c r="J928" i="15"/>
  <c r="H928" i="15"/>
  <c r="AC927" i="15"/>
  <c r="E927" i="15"/>
  <c r="C927" i="15" s="1"/>
  <c r="D927" i="15"/>
  <c r="R926" i="15" s="1"/>
  <c r="B927" i="15"/>
  <c r="AC926" i="15"/>
  <c r="M926" i="15"/>
  <c r="L926" i="15"/>
  <c r="K926" i="15"/>
  <c r="J926" i="15"/>
  <c r="H926" i="15"/>
  <c r="AC925" i="15"/>
  <c r="E925" i="15"/>
  <c r="C925" i="15" s="1"/>
  <c r="L925" i="15" s="1"/>
  <c r="D925" i="15"/>
  <c r="R924" i="15" s="1"/>
  <c r="B925" i="15"/>
  <c r="J925" i="15" s="1"/>
  <c r="AC924" i="15"/>
  <c r="M924" i="15"/>
  <c r="L924" i="15"/>
  <c r="K924" i="15"/>
  <c r="J924" i="15"/>
  <c r="H924" i="15"/>
  <c r="AC923" i="15"/>
  <c r="E923" i="15"/>
  <c r="C923" i="15" s="1"/>
  <c r="M923" i="15" s="1"/>
  <c r="D923" i="15"/>
  <c r="R922" i="15" s="1"/>
  <c r="B923" i="15"/>
  <c r="AC922" i="15"/>
  <c r="M922" i="15"/>
  <c r="L922" i="15"/>
  <c r="K922" i="15"/>
  <c r="J922" i="15"/>
  <c r="H922" i="15"/>
  <c r="AC921" i="15"/>
  <c r="E921" i="15"/>
  <c r="C921" i="15" s="1"/>
  <c r="D921" i="15"/>
  <c r="R920" i="15" s="1"/>
  <c r="B921" i="15"/>
  <c r="AC920" i="15"/>
  <c r="M920" i="15"/>
  <c r="L920" i="15"/>
  <c r="K920" i="15"/>
  <c r="J920" i="15"/>
  <c r="H920" i="15"/>
  <c r="AC919" i="15"/>
  <c r="E919" i="15"/>
  <c r="C919" i="15" s="1"/>
  <c r="M919" i="15" s="1"/>
  <c r="D919" i="15"/>
  <c r="R918" i="15" s="1"/>
  <c r="B919" i="15"/>
  <c r="K919" i="15" s="1"/>
  <c r="N919" i="15" s="1"/>
  <c r="AC918" i="15"/>
  <c r="M918" i="15"/>
  <c r="L918" i="15"/>
  <c r="K918" i="15"/>
  <c r="J918" i="15"/>
  <c r="H918" i="15"/>
  <c r="AC917" i="15"/>
  <c r="E917" i="15"/>
  <c r="C917" i="15" s="1"/>
  <c r="M917" i="15" s="1"/>
  <c r="D917" i="15"/>
  <c r="R916" i="15" s="1"/>
  <c r="B917" i="15"/>
  <c r="K917" i="15" s="1"/>
  <c r="N917" i="15" s="1"/>
  <c r="AC916" i="15"/>
  <c r="M916" i="15"/>
  <c r="L916" i="15"/>
  <c r="K916" i="15"/>
  <c r="J916" i="15"/>
  <c r="H916" i="15"/>
  <c r="AC915" i="15"/>
  <c r="E915" i="15"/>
  <c r="C915" i="15" s="1"/>
  <c r="M915" i="15" s="1"/>
  <c r="D915" i="15"/>
  <c r="R914" i="15" s="1"/>
  <c r="B915" i="15"/>
  <c r="AC914" i="15"/>
  <c r="M914" i="15"/>
  <c r="L914" i="15"/>
  <c r="K914" i="15"/>
  <c r="J914" i="15"/>
  <c r="H914" i="15"/>
  <c r="AC913" i="15"/>
  <c r="E913" i="15"/>
  <c r="C913" i="15" s="1"/>
  <c r="D913" i="15"/>
  <c r="R912" i="15" s="1"/>
  <c r="B913" i="15"/>
  <c r="H913" i="15" s="1"/>
  <c r="AC912" i="15"/>
  <c r="M912" i="15"/>
  <c r="L912" i="15"/>
  <c r="K912" i="15"/>
  <c r="J912" i="15"/>
  <c r="H912" i="15"/>
  <c r="AC911" i="15"/>
  <c r="E911" i="15"/>
  <c r="C911" i="15" s="1"/>
  <c r="D911" i="15"/>
  <c r="R910" i="15" s="1"/>
  <c r="B911" i="15"/>
  <c r="K911" i="15" s="1"/>
  <c r="N911" i="15" s="1"/>
  <c r="AC910" i="15"/>
  <c r="M910" i="15"/>
  <c r="L910" i="15"/>
  <c r="K910" i="15"/>
  <c r="J910" i="15"/>
  <c r="H910" i="15"/>
  <c r="AC909" i="15"/>
  <c r="E909" i="15"/>
  <c r="C909" i="15" s="1"/>
  <c r="D909" i="15"/>
  <c r="R908" i="15" s="1"/>
  <c r="B909" i="15"/>
  <c r="J909" i="15" s="1"/>
  <c r="AC908" i="15"/>
  <c r="M908" i="15"/>
  <c r="L908" i="15"/>
  <c r="K908" i="15"/>
  <c r="J908" i="15"/>
  <c r="H908" i="15"/>
  <c r="AC907" i="15"/>
  <c r="E907" i="15"/>
  <c r="C907" i="15" s="1"/>
  <c r="D907" i="15"/>
  <c r="R906" i="15" s="1"/>
  <c r="B907" i="15"/>
  <c r="AC906" i="15"/>
  <c r="M906" i="15"/>
  <c r="L906" i="15"/>
  <c r="K906" i="15"/>
  <c r="J906" i="15"/>
  <c r="H906" i="15"/>
  <c r="AC905" i="15"/>
  <c r="E905" i="15"/>
  <c r="C905" i="15" s="1"/>
  <c r="D905" i="15"/>
  <c r="R904" i="15" s="1"/>
  <c r="B905" i="15"/>
  <c r="AC904" i="15"/>
  <c r="M904" i="15"/>
  <c r="L904" i="15"/>
  <c r="K904" i="15"/>
  <c r="J904" i="15"/>
  <c r="H904" i="15"/>
  <c r="AC903" i="15"/>
  <c r="E903" i="15"/>
  <c r="C903" i="15" s="1"/>
  <c r="D903" i="15"/>
  <c r="R902" i="15" s="1"/>
  <c r="B903" i="15"/>
  <c r="AC902" i="15"/>
  <c r="M902" i="15"/>
  <c r="L902" i="15"/>
  <c r="K902" i="15"/>
  <c r="J902" i="15"/>
  <c r="H902" i="15"/>
  <c r="AC901" i="15"/>
  <c r="E901" i="15"/>
  <c r="C901" i="15" s="1"/>
  <c r="D901" i="15"/>
  <c r="R900" i="15" s="1"/>
  <c r="B901" i="15"/>
  <c r="AC900" i="15"/>
  <c r="M900" i="15"/>
  <c r="L900" i="15"/>
  <c r="K900" i="15"/>
  <c r="J900" i="15"/>
  <c r="H900" i="15"/>
  <c r="AC899" i="15"/>
  <c r="E899" i="15"/>
  <c r="C899" i="15" s="1"/>
  <c r="D899" i="15"/>
  <c r="R898" i="15" s="1"/>
  <c r="B899" i="15"/>
  <c r="J899" i="15" s="1"/>
  <c r="AC898" i="15"/>
  <c r="M898" i="15"/>
  <c r="L898" i="15"/>
  <c r="K898" i="15"/>
  <c r="J898" i="15"/>
  <c r="H898" i="15"/>
  <c r="AC897" i="15"/>
  <c r="E897" i="15"/>
  <c r="C897" i="15" s="1"/>
  <c r="D897" i="15"/>
  <c r="R896" i="15" s="1"/>
  <c r="B897" i="15"/>
  <c r="AC896" i="15"/>
  <c r="M896" i="15"/>
  <c r="L896" i="15"/>
  <c r="K896" i="15"/>
  <c r="J896" i="15"/>
  <c r="H896" i="15"/>
  <c r="AC895" i="15"/>
  <c r="E895" i="15"/>
  <c r="C895" i="15" s="1"/>
  <c r="L895" i="15" s="1"/>
  <c r="D895" i="15"/>
  <c r="R894" i="15" s="1"/>
  <c r="B895" i="15"/>
  <c r="K895" i="15" s="1"/>
  <c r="N895" i="15" s="1"/>
  <c r="AC894" i="15"/>
  <c r="M894" i="15"/>
  <c r="L894" i="15"/>
  <c r="K894" i="15"/>
  <c r="J894" i="15"/>
  <c r="H894" i="15"/>
  <c r="AC893" i="15"/>
  <c r="E893" i="15"/>
  <c r="C893" i="15" s="1"/>
  <c r="M893" i="15" s="1"/>
  <c r="D893" i="15"/>
  <c r="R892" i="15" s="1"/>
  <c r="B893" i="15"/>
  <c r="AC892" i="15"/>
  <c r="M892" i="15"/>
  <c r="L892" i="15"/>
  <c r="K892" i="15"/>
  <c r="J892" i="15"/>
  <c r="H892" i="15"/>
  <c r="AC891" i="15"/>
  <c r="E891" i="15"/>
  <c r="C891" i="15" s="1"/>
  <c r="L891" i="15" s="1"/>
  <c r="D891" i="15"/>
  <c r="R890" i="15" s="1"/>
  <c r="B891" i="15"/>
  <c r="K891" i="15" s="1"/>
  <c r="N891" i="15" s="1"/>
  <c r="AC890" i="15"/>
  <c r="M890" i="15"/>
  <c r="L890" i="15"/>
  <c r="K890" i="15"/>
  <c r="H890" i="15"/>
  <c r="AC889" i="15"/>
  <c r="AB889" i="15"/>
  <c r="E889" i="15"/>
  <c r="C889" i="15" s="1"/>
  <c r="D889" i="15"/>
  <c r="R888" i="15" s="1"/>
  <c r="B889" i="15"/>
  <c r="AC887" i="15"/>
  <c r="AB887" i="15"/>
  <c r="E887" i="15"/>
  <c r="C887" i="15" s="1"/>
  <c r="D887" i="15"/>
  <c r="R886" i="15" s="1"/>
  <c r="B887" i="15"/>
  <c r="AC885" i="15"/>
  <c r="AB885" i="15"/>
  <c r="E885" i="15"/>
  <c r="C885" i="15" s="1"/>
  <c r="M885" i="15" s="1"/>
  <c r="D885" i="15"/>
  <c r="R884" i="15" s="1"/>
  <c r="B885" i="15"/>
  <c r="AC883" i="15"/>
  <c r="AB883" i="15"/>
  <c r="E883" i="15"/>
  <c r="C883" i="15" s="1"/>
  <c r="D883" i="15"/>
  <c r="R882" i="15" s="1"/>
  <c r="B883" i="15"/>
  <c r="J883" i="15" s="1"/>
  <c r="AC881" i="15"/>
  <c r="E881" i="15"/>
  <c r="C881" i="15" s="1"/>
  <c r="D881" i="15"/>
  <c r="R880" i="15" s="1"/>
  <c r="B881" i="15"/>
  <c r="U876" i="15"/>
  <c r="V874" i="15"/>
  <c r="V873" i="15"/>
  <c r="V872" i="15"/>
  <c r="V871" i="15"/>
  <c r="V870" i="15"/>
  <c r="V869" i="15"/>
  <c r="V868" i="15"/>
  <c r="V867" i="15"/>
  <c r="V866" i="15"/>
  <c r="AC854" i="15"/>
  <c r="AB854" i="15"/>
  <c r="C854" i="15"/>
  <c r="R853" i="15"/>
  <c r="B854" i="15"/>
  <c r="AC852" i="15"/>
  <c r="AB852" i="15"/>
  <c r="C852" i="15"/>
  <c r="R851" i="15"/>
  <c r="B852" i="15"/>
  <c r="AC850" i="15"/>
  <c r="AB850" i="15"/>
  <c r="C850" i="15"/>
  <c r="R849" i="15"/>
  <c r="B850" i="15"/>
  <c r="AC848" i="15"/>
  <c r="AB848" i="15"/>
  <c r="C848" i="15"/>
  <c r="R847" i="15"/>
  <c r="B848" i="15"/>
  <c r="K848" i="15" s="1"/>
  <c r="N848" i="15" s="1"/>
  <c r="AC846" i="15"/>
  <c r="AB846" i="15"/>
  <c r="C846" i="15"/>
  <c r="R845" i="15"/>
  <c r="B846" i="15"/>
  <c r="K846" i="15" s="1"/>
  <c r="N846" i="15" s="1"/>
  <c r="AC844" i="15"/>
  <c r="AB844" i="15"/>
  <c r="E844" i="15"/>
  <c r="C844" i="15" s="1"/>
  <c r="D844" i="15"/>
  <c r="R843" i="15" s="1"/>
  <c r="B844" i="15"/>
  <c r="K844" i="15" s="1"/>
  <c r="N844" i="15" s="1"/>
  <c r="AC842" i="15"/>
  <c r="AB842" i="15"/>
  <c r="E842" i="15"/>
  <c r="C842" i="15" s="1"/>
  <c r="L842" i="15" s="1"/>
  <c r="D842" i="15"/>
  <c r="R841" i="15" s="1"/>
  <c r="B842" i="15"/>
  <c r="AC840" i="15"/>
  <c r="AB840" i="15"/>
  <c r="E840" i="15"/>
  <c r="C840" i="15" s="1"/>
  <c r="L840" i="15" s="1"/>
  <c r="D840" i="15"/>
  <c r="R839" i="15" s="1"/>
  <c r="B840" i="15"/>
  <c r="K840" i="15" s="1"/>
  <c r="N840" i="15" s="1"/>
  <c r="AC838" i="15"/>
  <c r="AB838" i="15"/>
  <c r="E838" i="15"/>
  <c r="C838" i="15" s="1"/>
  <c r="D838" i="15"/>
  <c r="R837" i="15" s="1"/>
  <c r="B838" i="15"/>
  <c r="AC836" i="15"/>
  <c r="AB836" i="15"/>
  <c r="E836" i="15"/>
  <c r="C836" i="15" s="1"/>
  <c r="L836" i="15" s="1"/>
  <c r="D836" i="15"/>
  <c r="R835" i="15" s="1"/>
  <c r="B836" i="15"/>
  <c r="H836" i="15" s="1"/>
  <c r="AC834" i="15"/>
  <c r="AB834" i="15"/>
  <c r="E834" i="15"/>
  <c r="C834" i="15" s="1"/>
  <c r="D834" i="15"/>
  <c r="R833" i="15" s="1"/>
  <c r="B834" i="15"/>
  <c r="J834" i="15" s="1"/>
  <c r="AC832" i="15"/>
  <c r="AB832" i="15"/>
  <c r="E832" i="15"/>
  <c r="C832" i="15" s="1"/>
  <c r="D832" i="15"/>
  <c r="R831" i="15" s="1"/>
  <c r="B832" i="15"/>
  <c r="AC830" i="15"/>
  <c r="AB830" i="15"/>
  <c r="E830" i="15"/>
  <c r="C830" i="15" s="1"/>
  <c r="D830" i="15"/>
  <c r="R829" i="15" s="1"/>
  <c r="B830" i="15"/>
  <c r="J830" i="15" s="1"/>
  <c r="AC828" i="15"/>
  <c r="AB828" i="15"/>
  <c r="E828" i="15"/>
  <c r="C828" i="15" s="1"/>
  <c r="D828" i="15"/>
  <c r="R827" i="15" s="1"/>
  <c r="B828" i="15"/>
  <c r="AC826" i="15"/>
  <c r="AB826" i="15"/>
  <c r="E826" i="15"/>
  <c r="C826" i="15" s="1"/>
  <c r="D826" i="15"/>
  <c r="R825" i="15" s="1"/>
  <c r="B826" i="15"/>
  <c r="AC824" i="15"/>
  <c r="AB824" i="15"/>
  <c r="E824" i="15"/>
  <c r="C824" i="15" s="1"/>
  <c r="D824" i="15"/>
  <c r="R823" i="15" s="1"/>
  <c r="B824" i="15"/>
  <c r="H824" i="15" s="1"/>
  <c r="AC822" i="15"/>
  <c r="AB822" i="15"/>
  <c r="E822" i="15"/>
  <c r="C822" i="15" s="1"/>
  <c r="D822" i="15"/>
  <c r="R821" i="15" s="1"/>
  <c r="B822" i="15"/>
  <c r="K822" i="15" s="1"/>
  <c r="N822" i="15" s="1"/>
  <c r="AC820" i="15"/>
  <c r="AB820" i="15"/>
  <c r="E820" i="15"/>
  <c r="C820" i="15" s="1"/>
  <c r="D820" i="15"/>
  <c r="R819" i="15" s="1"/>
  <c r="B820" i="15"/>
  <c r="AC818" i="15"/>
  <c r="AB818" i="15"/>
  <c r="E818" i="15"/>
  <c r="C818" i="15" s="1"/>
  <c r="M818" i="15" s="1"/>
  <c r="D818" i="15"/>
  <c r="R817" i="15" s="1"/>
  <c r="B818" i="15"/>
  <c r="AC816" i="15"/>
  <c r="AB816" i="15"/>
  <c r="E816" i="15"/>
  <c r="C816" i="15" s="1"/>
  <c r="D816" i="15"/>
  <c r="R815" i="15" s="1"/>
  <c r="B816" i="15"/>
  <c r="H816" i="15" s="1"/>
  <c r="AC814" i="15"/>
  <c r="AB814" i="15"/>
  <c r="E814" i="15"/>
  <c r="C814" i="15" s="1"/>
  <c r="D814" i="15"/>
  <c r="R813" i="15" s="1"/>
  <c r="B814" i="15"/>
  <c r="AC812" i="15"/>
  <c r="AB812" i="15"/>
  <c r="E812" i="15"/>
  <c r="C812" i="15" s="1"/>
  <c r="D812" i="15"/>
  <c r="R811" i="15" s="1"/>
  <c r="B812" i="15"/>
  <c r="AC810" i="15"/>
  <c r="AB810" i="15"/>
  <c r="E810" i="15"/>
  <c r="C810" i="15" s="1"/>
  <c r="D810" i="15"/>
  <c r="R809" i="15" s="1"/>
  <c r="B810" i="15"/>
  <c r="AC808" i="15"/>
  <c r="AB808" i="15"/>
  <c r="E808" i="15"/>
  <c r="C808" i="15" s="1"/>
  <c r="D808" i="15"/>
  <c r="R807" i="15" s="1"/>
  <c r="B808" i="15"/>
  <c r="AC806" i="15"/>
  <c r="AB806" i="15"/>
  <c r="E806" i="15"/>
  <c r="C806" i="15" s="1"/>
  <c r="D806" i="15"/>
  <c r="R805" i="15" s="1"/>
  <c r="B806" i="15"/>
  <c r="AC804" i="15"/>
  <c r="AB804" i="15"/>
  <c r="E804" i="15"/>
  <c r="C804" i="15" s="1"/>
  <c r="D804" i="15"/>
  <c r="R803" i="15" s="1"/>
  <c r="B804" i="15"/>
  <c r="AC802" i="15"/>
  <c r="AB802" i="15"/>
  <c r="E802" i="15"/>
  <c r="C802" i="15" s="1"/>
  <c r="M802" i="15" s="1"/>
  <c r="D802" i="15"/>
  <c r="R801" i="15" s="1"/>
  <c r="B802" i="15"/>
  <c r="AC800" i="15"/>
  <c r="AB800" i="15"/>
  <c r="E800" i="15"/>
  <c r="C800" i="15" s="1"/>
  <c r="D800" i="15"/>
  <c r="R799" i="15" s="1"/>
  <c r="B800" i="15"/>
  <c r="AC798" i="15"/>
  <c r="AB798" i="15"/>
  <c r="E798" i="15"/>
  <c r="C798" i="15" s="1"/>
  <c r="M798" i="15" s="1"/>
  <c r="D798" i="15"/>
  <c r="R797" i="15" s="1"/>
  <c r="B798" i="15"/>
  <c r="AC796" i="15"/>
  <c r="AB796" i="15"/>
  <c r="E796" i="15"/>
  <c r="C796" i="15" s="1"/>
  <c r="D796" i="15"/>
  <c r="R795" i="15" s="1"/>
  <c r="B796" i="15"/>
  <c r="AC794" i="15"/>
  <c r="E794" i="15"/>
  <c r="C794" i="15" s="1"/>
  <c r="M794" i="15" s="1"/>
  <c r="D794" i="15"/>
  <c r="R793" i="15" s="1"/>
  <c r="B794" i="15"/>
  <c r="AC792" i="15"/>
  <c r="E792" i="15"/>
  <c r="C792" i="15" s="1"/>
  <c r="D792" i="15"/>
  <c r="R791" i="15" s="1"/>
  <c r="B792" i="15"/>
  <c r="AC790" i="15"/>
  <c r="E790" i="15"/>
  <c r="C790" i="15" s="1"/>
  <c r="D790" i="15"/>
  <c r="R789" i="15" s="1"/>
  <c r="B790" i="15"/>
  <c r="AC788" i="15"/>
  <c r="E788" i="15"/>
  <c r="C788" i="15" s="1"/>
  <c r="D788" i="15"/>
  <c r="R787" i="15" s="1"/>
  <c r="B788" i="15"/>
  <c r="AC786" i="15"/>
  <c r="E786" i="15"/>
  <c r="C786" i="15" s="1"/>
  <c r="M786" i="15" s="1"/>
  <c r="D786" i="15"/>
  <c r="R785" i="15" s="1"/>
  <c r="B786" i="15"/>
  <c r="K786" i="15" s="1"/>
  <c r="N786" i="15" s="1"/>
  <c r="AC784" i="15"/>
  <c r="AB784" i="15"/>
  <c r="E784" i="15"/>
  <c r="C784" i="15" s="1"/>
  <c r="M784" i="15" s="1"/>
  <c r="D784" i="15"/>
  <c r="R783" i="15" s="1"/>
  <c r="B784" i="15"/>
  <c r="AC782" i="15"/>
  <c r="AB782" i="15"/>
  <c r="E782" i="15"/>
  <c r="C782" i="15" s="1"/>
  <c r="L782" i="15" s="1"/>
  <c r="D782" i="15"/>
  <c r="R781" i="15" s="1"/>
  <c r="B782" i="15"/>
  <c r="AC780" i="15"/>
  <c r="AB780" i="15"/>
  <c r="E780" i="15"/>
  <c r="C780" i="15" s="1"/>
  <c r="D780" i="15"/>
  <c r="R779" i="15" s="1"/>
  <c r="B780" i="15"/>
  <c r="AC778" i="15"/>
  <c r="AB778" i="15"/>
  <c r="E778" i="15"/>
  <c r="C778" i="15" s="1"/>
  <c r="D778" i="15"/>
  <c r="R777" i="15" s="1"/>
  <c r="B778" i="15"/>
  <c r="AC776" i="15"/>
  <c r="E776" i="15"/>
  <c r="C776" i="15" s="1"/>
  <c r="L776" i="15" s="1"/>
  <c r="D776" i="15"/>
  <c r="R775" i="15" s="1"/>
  <c r="B776" i="15"/>
  <c r="AA771" i="15"/>
  <c r="Z771" i="15"/>
  <c r="Y771" i="15"/>
  <c r="X771" i="15"/>
  <c r="U771" i="15"/>
  <c r="V769" i="15"/>
  <c r="V768" i="15"/>
  <c r="V767" i="15"/>
  <c r="V766" i="15"/>
  <c r="V765" i="15"/>
  <c r="V764" i="15"/>
  <c r="V763" i="15"/>
  <c r="V762" i="15"/>
  <c r="V761" i="15"/>
  <c r="AC749" i="15"/>
  <c r="AB749" i="15"/>
  <c r="I749" i="15"/>
  <c r="R748" i="15"/>
  <c r="B749" i="15"/>
  <c r="Q748" i="15"/>
  <c r="AC747" i="15"/>
  <c r="AB747" i="15"/>
  <c r="R746" i="15"/>
  <c r="B747" i="15"/>
  <c r="Q746" i="15"/>
  <c r="AC745" i="15"/>
  <c r="AB745" i="15"/>
  <c r="R744" i="15"/>
  <c r="B745" i="15"/>
  <c r="Q744" i="15"/>
  <c r="AC743" i="15"/>
  <c r="AB743" i="15"/>
  <c r="R742" i="15"/>
  <c r="B743" i="15"/>
  <c r="Q742" i="15"/>
  <c r="AC741" i="15"/>
  <c r="AB741" i="15"/>
  <c r="R740" i="15"/>
  <c r="B741" i="15"/>
  <c r="Q740" i="15"/>
  <c r="AC739" i="15"/>
  <c r="AB739" i="15"/>
  <c r="E739" i="15"/>
  <c r="C739" i="15" s="1"/>
  <c r="K738" i="15" s="1"/>
  <c r="D739" i="15"/>
  <c r="R738" i="15" s="1"/>
  <c r="B739" i="15"/>
  <c r="Q738" i="15"/>
  <c r="AC737" i="15"/>
  <c r="AB737" i="15"/>
  <c r="E737" i="15"/>
  <c r="C737" i="15" s="1"/>
  <c r="D737" i="15"/>
  <c r="R736" i="15" s="1"/>
  <c r="B737" i="15"/>
  <c r="Q736" i="15"/>
  <c r="AC735" i="15"/>
  <c r="AB735" i="15"/>
  <c r="E735" i="15"/>
  <c r="D735" i="15"/>
  <c r="R734" i="15" s="1"/>
  <c r="B735" i="15"/>
  <c r="Q734" i="15"/>
  <c r="AC733" i="15"/>
  <c r="AB733" i="15"/>
  <c r="E733" i="15"/>
  <c r="I733" i="15" s="1"/>
  <c r="D733" i="15"/>
  <c r="R732" i="15" s="1"/>
  <c r="B733" i="15"/>
  <c r="Q732" i="15"/>
  <c r="AC731" i="15"/>
  <c r="AB731" i="15"/>
  <c r="E731" i="15"/>
  <c r="I731" i="15" s="1"/>
  <c r="D731" i="15"/>
  <c r="R730" i="15" s="1"/>
  <c r="B731" i="15"/>
  <c r="J731" i="15" s="1"/>
  <c r="Q730" i="15"/>
  <c r="AC729" i="15"/>
  <c r="AB729" i="15"/>
  <c r="E729" i="15"/>
  <c r="D729" i="15"/>
  <c r="R728" i="15" s="1"/>
  <c r="B729" i="15"/>
  <c r="Q728" i="15"/>
  <c r="AC727" i="15"/>
  <c r="AB727" i="15"/>
  <c r="E727" i="15"/>
  <c r="C727" i="15" s="1"/>
  <c r="D727" i="15"/>
  <c r="R726" i="15" s="1"/>
  <c r="B727" i="15"/>
  <c r="Q726" i="15"/>
  <c r="AC725" i="15"/>
  <c r="AB725" i="15"/>
  <c r="E725" i="15"/>
  <c r="D725" i="15"/>
  <c r="R724" i="15" s="1"/>
  <c r="B725" i="15"/>
  <c r="Q724" i="15"/>
  <c r="AC723" i="15"/>
  <c r="AB723" i="15"/>
  <c r="E723" i="15"/>
  <c r="C723" i="15" s="1"/>
  <c r="D723" i="15"/>
  <c r="R722" i="15" s="1"/>
  <c r="B723" i="15"/>
  <c r="Q722" i="15"/>
  <c r="AC721" i="15"/>
  <c r="AB721" i="15"/>
  <c r="E721" i="15"/>
  <c r="C721" i="15" s="1"/>
  <c r="D721" i="15"/>
  <c r="R720" i="15" s="1"/>
  <c r="B721" i="15"/>
  <c r="J721" i="15" s="1"/>
  <c r="Q720" i="15"/>
  <c r="AC719" i="15"/>
  <c r="AB719" i="15"/>
  <c r="E719" i="15"/>
  <c r="C719" i="15" s="1"/>
  <c r="D719" i="15"/>
  <c r="R718" i="15" s="1"/>
  <c r="B719" i="15"/>
  <c r="Q718" i="15"/>
  <c r="AC717" i="15"/>
  <c r="AB717" i="15"/>
  <c r="E717" i="15"/>
  <c r="I717" i="15" s="1"/>
  <c r="D717" i="15"/>
  <c r="R716" i="15" s="1"/>
  <c r="B717" i="15"/>
  <c r="Q716" i="15"/>
  <c r="AC715" i="15"/>
  <c r="AB715" i="15"/>
  <c r="E715" i="15"/>
  <c r="I715" i="15" s="1"/>
  <c r="D715" i="15"/>
  <c r="R714" i="15" s="1"/>
  <c r="B715" i="15"/>
  <c r="Q714" i="15"/>
  <c r="AC713" i="15"/>
  <c r="AB713" i="15"/>
  <c r="E713" i="15"/>
  <c r="C713" i="15" s="1"/>
  <c r="D713" i="15"/>
  <c r="R712" i="15" s="1"/>
  <c r="B713" i="15"/>
  <c r="J713" i="15" s="1"/>
  <c r="Q712" i="15"/>
  <c r="AC711" i="15"/>
  <c r="AB711" i="15"/>
  <c r="E711" i="15"/>
  <c r="C711" i="15" s="1"/>
  <c r="K710" i="15" s="1"/>
  <c r="D711" i="15"/>
  <c r="R710" i="15" s="1"/>
  <c r="B711" i="15"/>
  <c r="H711" i="15" s="1"/>
  <c r="Q710" i="15"/>
  <c r="AC709" i="15"/>
  <c r="AB709" i="15"/>
  <c r="E709" i="15"/>
  <c r="D709" i="15"/>
  <c r="R708" i="15" s="1"/>
  <c r="B709" i="15"/>
  <c r="Q708" i="15"/>
  <c r="AC707" i="15"/>
  <c r="AB707" i="15"/>
  <c r="E707" i="15"/>
  <c r="I707" i="15" s="1"/>
  <c r="D707" i="15"/>
  <c r="R706" i="15" s="1"/>
  <c r="B707" i="15"/>
  <c r="Q706" i="15"/>
  <c r="AC705" i="15"/>
  <c r="AB705" i="15"/>
  <c r="E705" i="15"/>
  <c r="C705" i="15" s="1"/>
  <c r="M705" i="15" s="1"/>
  <c r="Q705" i="15" s="1"/>
  <c r="D705" i="15"/>
  <c r="R704" i="15" s="1"/>
  <c r="B705" i="15"/>
  <c r="Q704" i="15"/>
  <c r="AC703" i="15"/>
  <c r="AB703" i="15"/>
  <c r="E703" i="15"/>
  <c r="I703" i="15" s="1"/>
  <c r="D703" i="15"/>
  <c r="R702" i="15" s="1"/>
  <c r="B703" i="15"/>
  <c r="Q702" i="15"/>
  <c r="AC701" i="15"/>
  <c r="AB701" i="15"/>
  <c r="E701" i="15"/>
  <c r="C701" i="15" s="1"/>
  <c r="D701" i="15"/>
  <c r="R700" i="15" s="1"/>
  <c r="B701" i="15"/>
  <c r="Q700" i="15"/>
  <c r="AC699" i="15"/>
  <c r="AB699" i="15"/>
  <c r="E699" i="15"/>
  <c r="C699" i="15" s="1"/>
  <c r="D699" i="15"/>
  <c r="R698" i="15" s="1"/>
  <c r="B699" i="15"/>
  <c r="Q698" i="15"/>
  <c r="AC697" i="15"/>
  <c r="AB697" i="15"/>
  <c r="E697" i="15"/>
  <c r="D697" i="15"/>
  <c r="R696" i="15" s="1"/>
  <c r="B697" i="15"/>
  <c r="Q696" i="15"/>
  <c r="AC695" i="15"/>
  <c r="AB695" i="15"/>
  <c r="E695" i="15"/>
  <c r="I695" i="15" s="1"/>
  <c r="D695" i="15"/>
  <c r="R694" i="15" s="1"/>
  <c r="B695" i="15"/>
  <c r="Q694" i="15"/>
  <c r="AC693" i="15"/>
  <c r="AB693" i="15"/>
  <c r="E693" i="15"/>
  <c r="C693" i="15" s="1"/>
  <c r="D693" i="15"/>
  <c r="R692" i="15" s="1"/>
  <c r="B693" i="15"/>
  <c r="Q692" i="15"/>
  <c r="AC691" i="15"/>
  <c r="AB691" i="15"/>
  <c r="E691" i="15"/>
  <c r="C691" i="15" s="1"/>
  <c r="D691" i="15"/>
  <c r="R690" i="15" s="1"/>
  <c r="B691" i="15"/>
  <c r="Q690" i="15"/>
  <c r="AC689" i="15"/>
  <c r="AB689" i="15"/>
  <c r="E689" i="15"/>
  <c r="D689" i="15"/>
  <c r="R688" i="15" s="1"/>
  <c r="B689" i="15"/>
  <c r="Q688" i="15"/>
  <c r="AC687" i="15"/>
  <c r="AB687" i="15"/>
  <c r="E687" i="15"/>
  <c r="I687" i="15" s="1"/>
  <c r="D687" i="15"/>
  <c r="R686" i="15" s="1"/>
  <c r="B687" i="15"/>
  <c r="Q686" i="15"/>
  <c r="AC685" i="15"/>
  <c r="AB685" i="15"/>
  <c r="E685" i="15"/>
  <c r="I685" i="15" s="1"/>
  <c r="D685" i="15"/>
  <c r="R684" i="15" s="1"/>
  <c r="B685" i="15"/>
  <c r="Q684" i="15"/>
  <c r="AC683" i="15"/>
  <c r="AB683" i="15"/>
  <c r="E683" i="15"/>
  <c r="C683" i="15" s="1"/>
  <c r="K682" i="15" s="1"/>
  <c r="D683" i="15"/>
  <c r="R682" i="15" s="1"/>
  <c r="B683" i="15"/>
  <c r="Q682" i="15"/>
  <c r="AC681" i="15"/>
  <c r="AB681" i="15"/>
  <c r="E681" i="15"/>
  <c r="D681" i="15"/>
  <c r="R680" i="15" s="1"/>
  <c r="B681" i="15"/>
  <c r="Q680" i="15"/>
  <c r="AC679" i="15"/>
  <c r="AB679" i="15"/>
  <c r="E679" i="15"/>
  <c r="I679" i="15" s="1"/>
  <c r="D679" i="15"/>
  <c r="R678" i="15" s="1"/>
  <c r="B679" i="15"/>
  <c r="Q678" i="15"/>
  <c r="AC677" i="15"/>
  <c r="AB677" i="15"/>
  <c r="E677" i="15"/>
  <c r="I677" i="15" s="1"/>
  <c r="D677" i="15"/>
  <c r="R676" i="15" s="1"/>
  <c r="B677" i="15"/>
  <c r="Q676" i="15"/>
  <c r="AC675" i="15"/>
  <c r="AB675" i="15"/>
  <c r="E675" i="15"/>
  <c r="I675" i="15" s="1"/>
  <c r="D675" i="15"/>
  <c r="R674" i="15" s="1"/>
  <c r="B675" i="15"/>
  <c r="Q674" i="15"/>
  <c r="AC673" i="15"/>
  <c r="AB673" i="15"/>
  <c r="E673" i="15"/>
  <c r="D673" i="15"/>
  <c r="R672" i="15" s="1"/>
  <c r="B673" i="15"/>
  <c r="Q672" i="15"/>
  <c r="AC671" i="15"/>
  <c r="E671" i="15"/>
  <c r="D671" i="15"/>
  <c r="R670" i="15" s="1"/>
  <c r="B671" i="15"/>
  <c r="AA666" i="15"/>
  <c r="Z666" i="15"/>
  <c r="Y666" i="15"/>
  <c r="X666" i="15"/>
  <c r="W666" i="15"/>
  <c r="V666" i="15"/>
  <c r="V876" i="15" s="1"/>
  <c r="U666" i="15"/>
  <c r="V664" i="15"/>
  <c r="V663" i="15"/>
  <c r="V662" i="15"/>
  <c r="V661" i="15"/>
  <c r="V660" i="15"/>
  <c r="V659" i="15"/>
  <c r="V658" i="15"/>
  <c r="AC647" i="15"/>
  <c r="C647" i="15"/>
  <c r="R646" i="15"/>
  <c r="B647" i="15"/>
  <c r="J647" i="15" s="1"/>
  <c r="AC645" i="15"/>
  <c r="C645" i="15"/>
  <c r="R644" i="15"/>
  <c r="B645" i="15"/>
  <c r="AC643" i="15"/>
  <c r="C643" i="15"/>
  <c r="M643" i="15" s="1"/>
  <c r="R642" i="15"/>
  <c r="B643" i="15"/>
  <c r="K643" i="15" s="1"/>
  <c r="N643" i="15" s="1"/>
  <c r="AC641" i="15"/>
  <c r="C641" i="15"/>
  <c r="R640" i="15"/>
  <c r="B641" i="15"/>
  <c r="J641" i="15" s="1"/>
  <c r="AC639" i="15"/>
  <c r="C639" i="15"/>
  <c r="L639" i="15" s="1"/>
  <c r="R638" i="15"/>
  <c r="B639" i="15"/>
  <c r="AC637" i="15"/>
  <c r="E637" i="15"/>
  <c r="C637" i="15" s="1"/>
  <c r="D637" i="15"/>
  <c r="R636" i="15" s="1"/>
  <c r="B637" i="15"/>
  <c r="AC635" i="15"/>
  <c r="E635" i="15"/>
  <c r="C635" i="15" s="1"/>
  <c r="D635" i="15"/>
  <c r="R634" i="15" s="1"/>
  <c r="B635" i="15"/>
  <c r="AC633" i="15"/>
  <c r="E633" i="15"/>
  <c r="C633" i="15" s="1"/>
  <c r="D633" i="15"/>
  <c r="R632" i="15" s="1"/>
  <c r="B633" i="15"/>
  <c r="AC631" i="15"/>
  <c r="E631" i="15"/>
  <c r="C631" i="15" s="1"/>
  <c r="D631" i="15"/>
  <c r="R630" i="15" s="1"/>
  <c r="B631" i="15"/>
  <c r="AC629" i="15"/>
  <c r="E629" i="15"/>
  <c r="C629" i="15" s="1"/>
  <c r="D629" i="15"/>
  <c r="R628" i="15" s="1"/>
  <c r="B629" i="15"/>
  <c r="AC627" i="15"/>
  <c r="E627" i="15"/>
  <c r="C627" i="15" s="1"/>
  <c r="D627" i="15"/>
  <c r="R626" i="15" s="1"/>
  <c r="B627" i="15"/>
  <c r="AC625" i="15"/>
  <c r="E625" i="15"/>
  <c r="C625" i="15" s="1"/>
  <c r="D625" i="15"/>
  <c r="R624" i="15" s="1"/>
  <c r="B625" i="15"/>
  <c r="AC623" i="15"/>
  <c r="E623" i="15"/>
  <c r="C623" i="15" s="1"/>
  <c r="D623" i="15"/>
  <c r="R622" i="15" s="1"/>
  <c r="B623" i="15"/>
  <c r="AC621" i="15"/>
  <c r="E621" i="15"/>
  <c r="C621" i="15" s="1"/>
  <c r="M621" i="15" s="1"/>
  <c r="D621" i="15"/>
  <c r="R620" i="15" s="1"/>
  <c r="B621" i="15"/>
  <c r="AC619" i="15"/>
  <c r="E619" i="15"/>
  <c r="C619" i="15" s="1"/>
  <c r="D619" i="15"/>
  <c r="R618" i="15" s="1"/>
  <c r="B619" i="15"/>
  <c r="AC617" i="15"/>
  <c r="E617" i="15"/>
  <c r="C617" i="15" s="1"/>
  <c r="D617" i="15"/>
  <c r="R616" i="15" s="1"/>
  <c r="B617" i="15"/>
  <c r="H617" i="15" s="1"/>
  <c r="AC615" i="15"/>
  <c r="E615" i="15"/>
  <c r="C615" i="15" s="1"/>
  <c r="L615" i="15" s="1"/>
  <c r="D615" i="15"/>
  <c r="R614" i="15" s="1"/>
  <c r="B615" i="15"/>
  <c r="K615" i="15" s="1"/>
  <c r="N615" i="15" s="1"/>
  <c r="AC613" i="15"/>
  <c r="E613" i="15"/>
  <c r="C613" i="15" s="1"/>
  <c r="D613" i="15"/>
  <c r="R612" i="15" s="1"/>
  <c r="B613" i="15"/>
  <c r="K613" i="15" s="1"/>
  <c r="N613" i="15" s="1"/>
  <c r="AC611" i="15"/>
  <c r="E611" i="15"/>
  <c r="C611" i="15" s="1"/>
  <c r="D611" i="15"/>
  <c r="R610" i="15" s="1"/>
  <c r="B611" i="15"/>
  <c r="AC609" i="15"/>
  <c r="E609" i="15"/>
  <c r="C609" i="15" s="1"/>
  <c r="M609" i="15" s="1"/>
  <c r="D609" i="15"/>
  <c r="R608" i="15" s="1"/>
  <c r="B609" i="15"/>
  <c r="AC607" i="15"/>
  <c r="E607" i="15"/>
  <c r="C607" i="15" s="1"/>
  <c r="D607" i="15"/>
  <c r="R606" i="15" s="1"/>
  <c r="B607" i="15"/>
  <c r="AC605" i="15"/>
  <c r="E605" i="15"/>
  <c r="C605" i="15" s="1"/>
  <c r="D605" i="15"/>
  <c r="R604" i="15" s="1"/>
  <c r="B605" i="15"/>
  <c r="AC603" i="15"/>
  <c r="E603" i="15"/>
  <c r="C603" i="15" s="1"/>
  <c r="D603" i="15"/>
  <c r="R602" i="15" s="1"/>
  <c r="B603" i="15"/>
  <c r="AC601" i="15"/>
  <c r="E601" i="15"/>
  <c r="C601" i="15" s="1"/>
  <c r="M601" i="15" s="1"/>
  <c r="D601" i="15"/>
  <c r="R600" i="15" s="1"/>
  <c r="B601" i="15"/>
  <c r="J601" i="15" s="1"/>
  <c r="AC599" i="15"/>
  <c r="E599" i="15"/>
  <c r="C599" i="15" s="1"/>
  <c r="D599" i="15"/>
  <c r="R598" i="15" s="1"/>
  <c r="B599" i="15"/>
  <c r="AC597" i="15"/>
  <c r="E597" i="15"/>
  <c r="C597" i="15" s="1"/>
  <c r="M597" i="15" s="1"/>
  <c r="D597" i="15"/>
  <c r="R596" i="15" s="1"/>
  <c r="B597" i="15"/>
  <c r="AC595" i="15"/>
  <c r="E595" i="15"/>
  <c r="C595" i="15" s="1"/>
  <c r="D595" i="15"/>
  <c r="R594" i="15" s="1"/>
  <c r="B595" i="15"/>
  <c r="AC593" i="15"/>
  <c r="E593" i="15"/>
  <c r="C593" i="15" s="1"/>
  <c r="M593" i="15" s="1"/>
  <c r="D593" i="15"/>
  <c r="R592" i="15" s="1"/>
  <c r="B593" i="15"/>
  <c r="AC591" i="15"/>
  <c r="E591" i="15"/>
  <c r="C591" i="15" s="1"/>
  <c r="D591" i="15"/>
  <c r="R590" i="15" s="1"/>
  <c r="B591" i="15"/>
  <c r="AC589" i="15"/>
  <c r="E589" i="15"/>
  <c r="C589" i="15" s="1"/>
  <c r="D589" i="15"/>
  <c r="R588" i="15" s="1"/>
  <c r="B589" i="15"/>
  <c r="AC587" i="15"/>
  <c r="AB587" i="15"/>
  <c r="E587" i="15"/>
  <c r="C587" i="15" s="1"/>
  <c r="D587" i="15"/>
  <c r="R586" i="15" s="1"/>
  <c r="B587" i="15"/>
  <c r="AC585" i="15"/>
  <c r="AB585" i="15"/>
  <c r="E585" i="15"/>
  <c r="C585" i="15" s="1"/>
  <c r="D585" i="15"/>
  <c r="R584" i="15" s="1"/>
  <c r="B585" i="15"/>
  <c r="AC583" i="15"/>
  <c r="AB583" i="15"/>
  <c r="E583" i="15"/>
  <c r="C583" i="15" s="1"/>
  <c r="L583" i="15" s="1"/>
  <c r="D583" i="15"/>
  <c r="R582" i="15" s="1"/>
  <c r="B583" i="15"/>
  <c r="AC581" i="15"/>
  <c r="AB581" i="15"/>
  <c r="E581" i="15"/>
  <c r="C581" i="15" s="1"/>
  <c r="D581" i="15"/>
  <c r="R580" i="15" s="1"/>
  <c r="B581" i="15"/>
  <c r="AC579" i="15"/>
  <c r="AB579" i="15"/>
  <c r="E579" i="15"/>
  <c r="C579" i="15" s="1"/>
  <c r="D579" i="15"/>
  <c r="R578" i="15" s="1"/>
  <c r="B579" i="15"/>
  <c r="AC577" i="15"/>
  <c r="AB577" i="15"/>
  <c r="E577" i="15"/>
  <c r="C577" i="15" s="1"/>
  <c r="M577" i="15" s="1"/>
  <c r="D577" i="15"/>
  <c r="R576" i="15" s="1"/>
  <c r="B577" i="15"/>
  <c r="AC575" i="15"/>
  <c r="AB575" i="15"/>
  <c r="E575" i="15"/>
  <c r="C575" i="15" s="1"/>
  <c r="D575" i="15"/>
  <c r="R574" i="15" s="1"/>
  <c r="B575" i="15"/>
  <c r="AC573" i="15"/>
  <c r="AB573" i="15"/>
  <c r="E573" i="15"/>
  <c r="C573" i="15" s="1"/>
  <c r="D573" i="15"/>
  <c r="R572" i="15" s="1"/>
  <c r="B573" i="15"/>
  <c r="AC571" i="15"/>
  <c r="AB571" i="15"/>
  <c r="E571" i="15"/>
  <c r="C571" i="15" s="1"/>
  <c r="D571" i="15"/>
  <c r="R570" i="15" s="1"/>
  <c r="B571" i="15"/>
  <c r="AC569" i="15"/>
  <c r="E569" i="15"/>
  <c r="C569" i="15" s="1"/>
  <c r="D569" i="15"/>
  <c r="R568" i="15" s="1"/>
  <c r="B569" i="15"/>
  <c r="AA564" i="15"/>
  <c r="Z564" i="15"/>
  <c r="Y564" i="15"/>
  <c r="X564" i="15"/>
  <c r="W564" i="15"/>
  <c r="V564" i="15"/>
  <c r="U564" i="15"/>
  <c r="AC544" i="15"/>
  <c r="C544" i="15"/>
  <c r="P544" i="15" s="1"/>
  <c r="R543" i="15"/>
  <c r="B544" i="15"/>
  <c r="AC542" i="15"/>
  <c r="C542" i="15"/>
  <c r="R541" i="15"/>
  <c r="B542" i="15"/>
  <c r="H542" i="15" s="1"/>
  <c r="AC540" i="15"/>
  <c r="C540" i="15"/>
  <c r="R539" i="15"/>
  <c r="B540" i="15"/>
  <c r="H540" i="15" s="1"/>
  <c r="AC538" i="15"/>
  <c r="C538" i="15"/>
  <c r="R537" i="15"/>
  <c r="B538" i="15"/>
  <c r="AC536" i="15"/>
  <c r="C536" i="15"/>
  <c r="R535" i="15"/>
  <c r="B536" i="15"/>
  <c r="AC534" i="15"/>
  <c r="E534" i="15"/>
  <c r="C534" i="15" s="1"/>
  <c r="D534" i="15"/>
  <c r="R533" i="15" s="1"/>
  <c r="B534" i="15"/>
  <c r="AC532" i="15"/>
  <c r="E532" i="15"/>
  <c r="C532" i="15" s="1"/>
  <c r="P532" i="15" s="1"/>
  <c r="D532" i="15"/>
  <c r="R531" i="15" s="1"/>
  <c r="B532" i="15"/>
  <c r="K532" i="15" s="1"/>
  <c r="N532" i="15" s="1"/>
  <c r="AC530" i="15"/>
  <c r="E530" i="15"/>
  <c r="C530" i="15" s="1"/>
  <c r="O530" i="15" s="1"/>
  <c r="D530" i="15"/>
  <c r="R529" i="15" s="1"/>
  <c r="B530" i="15"/>
  <c r="AC528" i="15"/>
  <c r="E528" i="15"/>
  <c r="C528" i="15" s="1"/>
  <c r="D528" i="15"/>
  <c r="R527" i="15" s="1"/>
  <c r="B528" i="15"/>
  <c r="AC526" i="15"/>
  <c r="E526" i="15"/>
  <c r="C526" i="15" s="1"/>
  <c r="O526" i="15" s="1"/>
  <c r="D526" i="15"/>
  <c r="R525" i="15" s="1"/>
  <c r="B526" i="15"/>
  <c r="H526" i="15" s="1"/>
  <c r="AC524" i="15"/>
  <c r="E524" i="15"/>
  <c r="C524" i="15" s="1"/>
  <c r="D524" i="15"/>
  <c r="R523" i="15" s="1"/>
  <c r="B524" i="15"/>
  <c r="H524" i="15" s="1"/>
  <c r="AC522" i="15"/>
  <c r="E522" i="15"/>
  <c r="C522" i="15" s="1"/>
  <c r="D522" i="15"/>
  <c r="R521" i="15" s="1"/>
  <c r="B522" i="15"/>
  <c r="AC520" i="15"/>
  <c r="E520" i="15"/>
  <c r="C520" i="15" s="1"/>
  <c r="D520" i="15"/>
  <c r="R519" i="15" s="1"/>
  <c r="B520" i="15"/>
  <c r="K520" i="15" s="1"/>
  <c r="N520" i="15" s="1"/>
  <c r="AC518" i="15"/>
  <c r="E518" i="15"/>
  <c r="C518" i="15" s="1"/>
  <c r="D518" i="15"/>
  <c r="R517" i="15" s="1"/>
  <c r="B518" i="15"/>
  <c r="AC516" i="15"/>
  <c r="E516" i="15"/>
  <c r="C516" i="15" s="1"/>
  <c r="P516" i="15" s="1"/>
  <c r="D516" i="15"/>
  <c r="R515" i="15" s="1"/>
  <c r="B516" i="15"/>
  <c r="K516" i="15" s="1"/>
  <c r="N516" i="15" s="1"/>
  <c r="AC514" i="15"/>
  <c r="E514" i="15"/>
  <c r="C514" i="15" s="1"/>
  <c r="O514" i="15" s="1"/>
  <c r="D514" i="15"/>
  <c r="R513" i="15" s="1"/>
  <c r="B514" i="15"/>
  <c r="AC512" i="15"/>
  <c r="E512" i="15"/>
  <c r="C512" i="15" s="1"/>
  <c r="D512" i="15"/>
  <c r="R511" i="15" s="1"/>
  <c r="B512" i="15"/>
  <c r="AC510" i="15"/>
  <c r="E510" i="15"/>
  <c r="C510" i="15" s="1"/>
  <c r="D510" i="15"/>
  <c r="R509" i="15" s="1"/>
  <c r="B510" i="15"/>
  <c r="AC508" i="15"/>
  <c r="E508" i="15"/>
  <c r="C508" i="15" s="1"/>
  <c r="D508" i="15"/>
  <c r="R507" i="15" s="1"/>
  <c r="B508" i="15"/>
  <c r="H508" i="15" s="1"/>
  <c r="AC506" i="15"/>
  <c r="E506" i="15"/>
  <c r="C506" i="15" s="1"/>
  <c r="D506" i="15"/>
  <c r="R505" i="15" s="1"/>
  <c r="B506" i="15"/>
  <c r="AC504" i="15"/>
  <c r="E504" i="15"/>
  <c r="C504" i="15" s="1"/>
  <c r="D504" i="15"/>
  <c r="R503" i="15" s="1"/>
  <c r="B504" i="15"/>
  <c r="K504" i="15" s="1"/>
  <c r="N504" i="15" s="1"/>
  <c r="AC502" i="15"/>
  <c r="E502" i="15"/>
  <c r="C502" i="15" s="1"/>
  <c r="D502" i="15"/>
  <c r="R501" i="15" s="1"/>
  <c r="B502" i="15"/>
  <c r="AC500" i="15"/>
  <c r="E500" i="15"/>
  <c r="C500" i="15" s="1"/>
  <c r="D500" i="15"/>
  <c r="R499" i="15" s="1"/>
  <c r="B500" i="15"/>
  <c r="AC498" i="15"/>
  <c r="E498" i="15"/>
  <c r="C498" i="15" s="1"/>
  <c r="P498" i="15" s="1"/>
  <c r="D498" i="15"/>
  <c r="R497" i="15" s="1"/>
  <c r="B498" i="15"/>
  <c r="AC496" i="15"/>
  <c r="E496" i="15"/>
  <c r="C496" i="15" s="1"/>
  <c r="D496" i="15"/>
  <c r="R495" i="15" s="1"/>
  <c r="B496" i="15"/>
  <c r="AC494" i="15"/>
  <c r="E494" i="15"/>
  <c r="C494" i="15" s="1"/>
  <c r="P494" i="15" s="1"/>
  <c r="D494" i="15"/>
  <c r="R493" i="15" s="1"/>
  <c r="B494" i="15"/>
  <c r="AC492" i="15"/>
  <c r="E492" i="15"/>
  <c r="C492" i="15" s="1"/>
  <c r="D492" i="15"/>
  <c r="R491" i="15" s="1"/>
  <c r="B492" i="15"/>
  <c r="AC490" i="15"/>
  <c r="E490" i="15"/>
  <c r="C490" i="15" s="1"/>
  <c r="D490" i="15"/>
  <c r="R489" i="15" s="1"/>
  <c r="B490" i="15"/>
  <c r="AC488" i="15"/>
  <c r="E488" i="15"/>
  <c r="C488" i="15" s="1"/>
  <c r="D488" i="15"/>
  <c r="R487" i="15" s="1"/>
  <c r="B488" i="15"/>
  <c r="AC486" i="15"/>
  <c r="E486" i="15"/>
  <c r="C486" i="15" s="1"/>
  <c r="D486" i="15"/>
  <c r="R485" i="15" s="1"/>
  <c r="B486" i="15"/>
  <c r="AC484" i="15"/>
  <c r="E484" i="15"/>
  <c r="C484" i="15" s="1"/>
  <c r="D484" i="15"/>
  <c r="R483" i="15" s="1"/>
  <c r="B484" i="15"/>
  <c r="AC482" i="15"/>
  <c r="E482" i="15"/>
  <c r="C482" i="15" s="1"/>
  <c r="P482" i="15" s="1"/>
  <c r="D482" i="15"/>
  <c r="R481" i="15" s="1"/>
  <c r="B482" i="15"/>
  <c r="V482" i="15" s="1"/>
  <c r="AC480" i="15"/>
  <c r="E480" i="15"/>
  <c r="C480" i="15" s="1"/>
  <c r="D480" i="15"/>
  <c r="R479" i="15" s="1"/>
  <c r="B480" i="15"/>
  <c r="AC478" i="15"/>
  <c r="E478" i="15"/>
  <c r="C478" i="15" s="1"/>
  <c r="P478" i="15" s="1"/>
  <c r="D478" i="15"/>
  <c r="R477" i="15" s="1"/>
  <c r="B478" i="15"/>
  <c r="V478" i="15" s="1"/>
  <c r="AC476" i="15"/>
  <c r="E476" i="15"/>
  <c r="C476" i="15" s="1"/>
  <c r="D476" i="15"/>
  <c r="R475" i="15" s="1"/>
  <c r="B476" i="15"/>
  <c r="AC474" i="15"/>
  <c r="AB474" i="15"/>
  <c r="E474" i="15"/>
  <c r="C474" i="15" s="1"/>
  <c r="D474" i="15"/>
  <c r="R473" i="15" s="1"/>
  <c r="B474" i="15"/>
  <c r="AC472" i="15"/>
  <c r="AB472" i="15"/>
  <c r="E472" i="15"/>
  <c r="C472" i="15" s="1"/>
  <c r="D472" i="15"/>
  <c r="R471" i="15" s="1"/>
  <c r="B472" i="15"/>
  <c r="AC470" i="15"/>
  <c r="AB470" i="15"/>
  <c r="E470" i="15"/>
  <c r="C470" i="15" s="1"/>
  <c r="D470" i="15"/>
  <c r="R469" i="15" s="1"/>
  <c r="B470" i="15"/>
  <c r="AC468" i="15"/>
  <c r="AB468" i="15"/>
  <c r="E468" i="15"/>
  <c r="C468" i="15" s="1"/>
  <c r="D468" i="15"/>
  <c r="R467" i="15" s="1"/>
  <c r="B468" i="15"/>
  <c r="AC466" i="15"/>
  <c r="E466" i="15"/>
  <c r="C466" i="15" s="1"/>
  <c r="P466" i="15" s="1"/>
  <c r="D466" i="15"/>
  <c r="R465" i="15" s="1"/>
  <c r="B466" i="15"/>
  <c r="AA461" i="15"/>
  <c r="Z461" i="15"/>
  <c r="Y461" i="15"/>
  <c r="X461" i="15"/>
  <c r="W461" i="15"/>
  <c r="U461" i="15"/>
  <c r="AC449" i="15"/>
  <c r="AB449" i="15"/>
  <c r="B449" i="15"/>
  <c r="AC447" i="15"/>
  <c r="AB447" i="15"/>
  <c r="B447" i="15"/>
  <c r="AC445" i="15"/>
  <c r="AB445" i="15"/>
  <c r="B445" i="15"/>
  <c r="H445" i="15" s="1"/>
  <c r="AC443" i="15"/>
  <c r="AB443" i="15"/>
  <c r="B443" i="15"/>
  <c r="L443" i="15" s="1"/>
  <c r="AC441" i="15"/>
  <c r="B441" i="15"/>
  <c r="AA436" i="15"/>
  <c r="Z436" i="15"/>
  <c r="Y436" i="15"/>
  <c r="X436" i="15"/>
  <c r="W436" i="15"/>
  <c r="V436" i="15"/>
  <c r="U436" i="15"/>
  <c r="AC433" i="15"/>
  <c r="AB433" i="15"/>
  <c r="B433" i="15"/>
  <c r="AC431" i="15"/>
  <c r="AB431" i="15"/>
  <c r="B431" i="15"/>
  <c r="H431" i="15" s="1"/>
  <c r="AC429" i="15"/>
  <c r="AB429" i="15"/>
  <c r="B429" i="15"/>
  <c r="AC427" i="15"/>
  <c r="AB427" i="15"/>
  <c r="B427" i="15"/>
  <c r="AC425" i="15"/>
  <c r="B425" i="15"/>
  <c r="AA420" i="15"/>
  <c r="Z420" i="15"/>
  <c r="Y420" i="15"/>
  <c r="X420" i="15"/>
  <c r="W420" i="15"/>
  <c r="V420" i="15"/>
  <c r="U420" i="15"/>
  <c r="AC415" i="15"/>
  <c r="AB415" i="15"/>
  <c r="B415" i="15"/>
  <c r="AC413" i="15"/>
  <c r="AB413" i="15"/>
  <c r="B413" i="15"/>
  <c r="AC411" i="15"/>
  <c r="AB411" i="15"/>
  <c r="B411" i="15"/>
  <c r="AC409" i="15"/>
  <c r="AB409" i="15"/>
  <c r="B409" i="15"/>
  <c r="AC407" i="15"/>
  <c r="B407" i="15"/>
  <c r="AA402" i="15"/>
  <c r="Z402" i="15"/>
  <c r="Y402" i="15"/>
  <c r="X402" i="15"/>
  <c r="W402" i="15"/>
  <c r="V402" i="15"/>
  <c r="U402" i="15"/>
  <c r="T402" i="15"/>
  <c r="S402" i="15"/>
  <c r="AC388" i="15"/>
  <c r="AB388" i="15"/>
  <c r="C388" i="15"/>
  <c r="D388" i="15" s="1"/>
  <c r="B388" i="15"/>
  <c r="AC386" i="15"/>
  <c r="AB386" i="15"/>
  <c r="C386" i="15"/>
  <c r="D386" i="15" s="1"/>
  <c r="B386" i="15"/>
  <c r="AC384" i="15"/>
  <c r="AB384" i="15"/>
  <c r="C384" i="15"/>
  <c r="D384" i="15" s="1"/>
  <c r="B384" i="15"/>
  <c r="AC382" i="15"/>
  <c r="AB382" i="15"/>
  <c r="C382" i="15"/>
  <c r="D382" i="15" s="1"/>
  <c r="B382" i="15"/>
  <c r="AC380" i="15"/>
  <c r="AB380" i="15"/>
  <c r="M380" i="15"/>
  <c r="L380" i="15"/>
  <c r="K380" i="15"/>
  <c r="C380" i="15"/>
  <c r="D380" i="15" s="1"/>
  <c r="B380" i="15"/>
  <c r="AC378" i="15"/>
  <c r="AB378" i="15"/>
  <c r="C378" i="15"/>
  <c r="D378" i="15" s="1"/>
  <c r="B378" i="15"/>
  <c r="AC376" i="15"/>
  <c r="AB376" i="15"/>
  <c r="C376" i="15"/>
  <c r="D376" i="15" s="1"/>
  <c r="K375" i="15" s="1"/>
  <c r="K376" i="15" s="1"/>
  <c r="B376" i="15"/>
  <c r="AC374" i="15"/>
  <c r="AB374" i="15"/>
  <c r="C374" i="15"/>
  <c r="D374" i="15" s="1"/>
  <c r="B374" i="15"/>
  <c r="J374" i="15" s="1"/>
  <c r="AC372" i="15"/>
  <c r="AB372" i="15"/>
  <c r="C372" i="15"/>
  <c r="D372" i="15" s="1"/>
  <c r="K371" i="15" s="1"/>
  <c r="K372" i="15" s="1"/>
  <c r="B372" i="15"/>
  <c r="J372" i="15" s="1"/>
  <c r="AC370" i="15"/>
  <c r="AB370" i="15"/>
  <c r="C370" i="15"/>
  <c r="D370" i="15" s="1"/>
  <c r="B370" i="15"/>
  <c r="AC368" i="15"/>
  <c r="AB368" i="15"/>
  <c r="C368" i="15"/>
  <c r="D368" i="15" s="1"/>
  <c r="B368" i="15"/>
  <c r="AC366" i="15"/>
  <c r="AB366" i="15"/>
  <c r="C366" i="15"/>
  <c r="D366" i="15" s="1"/>
  <c r="B366" i="15"/>
  <c r="J366" i="15" s="1"/>
  <c r="AC364" i="15"/>
  <c r="AB364" i="15"/>
  <c r="C364" i="15"/>
  <c r="D364" i="15" s="1"/>
  <c r="K363" i="15" s="1"/>
  <c r="L363" i="15" s="1"/>
  <c r="L364" i="15" s="1"/>
  <c r="B364" i="15"/>
  <c r="AC362" i="15"/>
  <c r="AB362" i="15"/>
  <c r="C362" i="15"/>
  <c r="D362" i="15" s="1"/>
  <c r="B362" i="15"/>
  <c r="AC360" i="15"/>
  <c r="AB360" i="15"/>
  <c r="C360" i="15"/>
  <c r="D360" i="15" s="1"/>
  <c r="K359" i="15" s="1"/>
  <c r="K360" i="15" s="1"/>
  <c r="B360" i="15"/>
  <c r="AC358" i="15"/>
  <c r="AB358" i="15"/>
  <c r="C358" i="15"/>
  <c r="D358" i="15" s="1"/>
  <c r="K357"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B350" i="15"/>
  <c r="AC348" i="15"/>
  <c r="AB348" i="15"/>
  <c r="C348" i="15"/>
  <c r="D348" i="15" s="1"/>
  <c r="B348" i="15"/>
  <c r="AC346" i="15"/>
  <c r="AB346" i="15"/>
  <c r="C346" i="15"/>
  <c r="D346" i="15" s="1"/>
  <c r="K345" i="15" s="1"/>
  <c r="B346" i="15"/>
  <c r="J346" i="15" s="1"/>
  <c r="AC344" i="15"/>
  <c r="AB344" i="15"/>
  <c r="C344" i="15"/>
  <c r="D344" i="15" s="1"/>
  <c r="B344" i="15"/>
  <c r="AC342" i="15"/>
  <c r="AB342" i="15"/>
  <c r="C342" i="15"/>
  <c r="D342" i="15" s="1"/>
  <c r="B342" i="15"/>
  <c r="AC340" i="15"/>
  <c r="AB340" i="15"/>
  <c r="C340" i="15"/>
  <c r="D340" i="15" s="1"/>
  <c r="B340" i="15"/>
  <c r="AC338" i="15"/>
  <c r="AB338" i="15"/>
  <c r="C338" i="15"/>
  <c r="D338" i="15" s="1"/>
  <c r="B338" i="15"/>
  <c r="AC336" i="15"/>
  <c r="AB336" i="15"/>
  <c r="C336" i="15"/>
  <c r="D336" i="15" s="1"/>
  <c r="B336" i="15"/>
  <c r="AC334" i="15"/>
  <c r="AB334" i="15"/>
  <c r="C334" i="15"/>
  <c r="D334" i="15" s="1"/>
  <c r="B334" i="15"/>
  <c r="AC332" i="15"/>
  <c r="AB332" i="15"/>
  <c r="C332" i="15"/>
  <c r="D332" i="15" s="1"/>
  <c r="B332" i="15"/>
  <c r="AC330" i="15"/>
  <c r="AB330" i="15"/>
  <c r="C330" i="15"/>
  <c r="D330" i="15" s="1"/>
  <c r="K329" i="15" s="1"/>
  <c r="K330" i="15" s="1"/>
  <c r="B330" i="15"/>
  <c r="AC328" i="15"/>
  <c r="AB328" i="15"/>
  <c r="C328" i="15"/>
  <c r="D328" i="15" s="1"/>
  <c r="K327" i="15" s="1"/>
  <c r="K328" i="15" s="1"/>
  <c r="B328" i="15"/>
  <c r="AC326" i="15"/>
  <c r="AB326" i="15"/>
  <c r="C326" i="15"/>
  <c r="D326" i="15" s="1"/>
  <c r="K325" i="15" s="1"/>
  <c r="L325" i="15" s="1"/>
  <c r="L326" i="15" s="1"/>
  <c r="B326" i="15"/>
  <c r="H326" i="15" s="1"/>
  <c r="AC324" i="15"/>
  <c r="AB324" i="15"/>
  <c r="C324" i="15"/>
  <c r="D324" i="15" s="1"/>
  <c r="K323" i="15" s="1"/>
  <c r="K324" i="15" s="1"/>
  <c r="B324" i="15"/>
  <c r="AC322" i="15"/>
  <c r="AB322" i="15"/>
  <c r="C322" i="15"/>
  <c r="D322" i="15" s="1"/>
  <c r="K321" i="15" s="1"/>
  <c r="K322" i="15" s="1"/>
  <c r="B322" i="15"/>
  <c r="AC320" i="15"/>
  <c r="AB320" i="15"/>
  <c r="C320" i="15"/>
  <c r="D320" i="15" s="1"/>
  <c r="K319" i="15" s="1"/>
  <c r="K320" i="15" s="1"/>
  <c r="B320" i="15"/>
  <c r="AC318" i="15"/>
  <c r="AB318" i="15"/>
  <c r="C318" i="15"/>
  <c r="D318" i="15" s="1"/>
  <c r="K317" i="15" s="1"/>
  <c r="K318" i="15" s="1"/>
  <c r="B318" i="15"/>
  <c r="AC316" i="15"/>
  <c r="AB316" i="15"/>
  <c r="C316" i="15"/>
  <c r="D316" i="15" s="1"/>
  <c r="B316" i="15"/>
  <c r="AC314" i="15"/>
  <c r="AB314" i="15"/>
  <c r="C314" i="15"/>
  <c r="D314" i="15" s="1"/>
  <c r="K313" i="15" s="1"/>
  <c r="K314" i="15" s="1"/>
  <c r="B314" i="15"/>
  <c r="AC312" i="15"/>
  <c r="AB312" i="15"/>
  <c r="C312" i="15"/>
  <c r="D312" i="15" s="1"/>
  <c r="K311" i="15" s="1"/>
  <c r="K312" i="15" s="1"/>
  <c r="B312" i="15"/>
  <c r="AC310" i="15"/>
  <c r="C310" i="15"/>
  <c r="D310" i="15" s="1"/>
  <c r="K309" i="15" s="1"/>
  <c r="K310" i="15" s="1"/>
  <c r="B310" i="15"/>
  <c r="AA305" i="15"/>
  <c r="Z305" i="15"/>
  <c r="Y305" i="15"/>
  <c r="X305" i="15"/>
  <c r="W305" i="15"/>
  <c r="V305" i="15"/>
  <c r="U305" i="15"/>
  <c r="V303" i="15"/>
  <c r="V302" i="15"/>
  <c r="V301" i="15"/>
  <c r="V300" i="15"/>
  <c r="V299" i="15"/>
  <c r="V298" i="15"/>
  <c r="V297" i="15"/>
  <c r="V296" i="15"/>
  <c r="V295" i="15"/>
  <c r="AC282" i="15"/>
  <c r="B282" i="15"/>
  <c r="AC280" i="15"/>
  <c r="B280" i="15"/>
  <c r="K280" i="15" s="1"/>
  <c r="N280" i="15" s="1"/>
  <c r="AC278" i="15"/>
  <c r="B278" i="15"/>
  <c r="H278" i="15" s="1"/>
  <c r="AC276" i="15"/>
  <c r="B276" i="15"/>
  <c r="AC274" i="15"/>
  <c r="B274" i="15"/>
  <c r="K274" i="15" s="1"/>
  <c r="N274" i="15" s="1"/>
  <c r="AC272" i="15"/>
  <c r="B272" i="15"/>
  <c r="AC270" i="15"/>
  <c r="B270" i="15"/>
  <c r="AC268" i="15"/>
  <c r="B268" i="15"/>
  <c r="J268" i="15" s="1"/>
  <c r="AC266" i="15"/>
  <c r="B266" i="15"/>
  <c r="J266" i="15" s="1"/>
  <c r="AC264" i="15"/>
  <c r="B264" i="15"/>
  <c r="K264" i="15" s="1"/>
  <c r="N264" i="15" s="1"/>
  <c r="AC262" i="15"/>
  <c r="B262" i="15"/>
  <c r="H262" i="15" s="1"/>
  <c r="AC260" i="15"/>
  <c r="B260" i="15"/>
  <c r="AC258" i="15"/>
  <c r="B258" i="15"/>
  <c r="AC256" i="15"/>
  <c r="B256" i="15"/>
  <c r="J256" i="15" s="1"/>
  <c r="AC254" i="15"/>
  <c r="B254" i="15"/>
  <c r="AC252" i="15"/>
  <c r="B252" i="15"/>
  <c r="AC250" i="15"/>
  <c r="B250" i="15"/>
  <c r="J250" i="15" s="1"/>
  <c r="AC248" i="15"/>
  <c r="B248" i="15"/>
  <c r="K248" i="15" s="1"/>
  <c r="N248" i="15" s="1"/>
  <c r="AC246" i="15"/>
  <c r="B246" i="15"/>
  <c r="AC244" i="15"/>
  <c r="B244" i="15"/>
  <c r="AC242" i="15"/>
  <c r="B242" i="15"/>
  <c r="AC240" i="15"/>
  <c r="B240" i="15"/>
  <c r="AC238" i="15"/>
  <c r="B238" i="15"/>
  <c r="AC236" i="15"/>
  <c r="B236" i="15"/>
  <c r="H236" i="15" s="1"/>
  <c r="AC234" i="15"/>
  <c r="B234" i="15"/>
  <c r="J234" i="15" s="1"/>
  <c r="AC232" i="15"/>
  <c r="B232" i="15"/>
  <c r="K232" i="15" s="1"/>
  <c r="N232" i="15" s="1"/>
  <c r="AC230" i="15"/>
  <c r="B230" i="15"/>
  <c r="H230" i="15" s="1"/>
  <c r="AC228" i="15"/>
  <c r="B228" i="15"/>
  <c r="AC226" i="15"/>
  <c r="B226" i="15"/>
  <c r="AC224" i="15"/>
  <c r="B224" i="15"/>
  <c r="AC222" i="15"/>
  <c r="B222" i="15"/>
  <c r="AC220" i="15"/>
  <c r="B220" i="15"/>
  <c r="AC218" i="15"/>
  <c r="B218" i="15"/>
  <c r="AC216" i="15"/>
  <c r="B216" i="15"/>
  <c r="K216" i="15" s="1"/>
  <c r="N216" i="15" s="1"/>
  <c r="AC214" i="15"/>
  <c r="B214" i="15"/>
  <c r="AC212" i="15"/>
  <c r="B212" i="15"/>
  <c r="AC210" i="15"/>
  <c r="B210" i="15"/>
  <c r="AC208" i="15"/>
  <c r="B208" i="15"/>
  <c r="AC206" i="15"/>
  <c r="B206" i="15"/>
  <c r="AC204" i="15"/>
  <c r="B204" i="15"/>
  <c r="AA199" i="15"/>
  <c r="Z199" i="15"/>
  <c r="Y199" i="15"/>
  <c r="X199" i="15"/>
  <c r="W199" i="15"/>
  <c r="V199" i="15"/>
  <c r="U199" i="15"/>
  <c r="V197" i="15"/>
  <c r="B176" i="15"/>
  <c r="B174" i="15"/>
  <c r="B172" i="15"/>
  <c r="B170" i="15"/>
  <c r="B168" i="15"/>
  <c r="B166" i="15"/>
  <c r="B164" i="15"/>
  <c r="B162" i="15"/>
  <c r="B160" i="15"/>
  <c r="B158" i="15"/>
  <c r="B156" i="15"/>
  <c r="B154" i="15"/>
  <c r="L154" i="15" s="1"/>
  <c r="B152" i="15"/>
  <c r="B150"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B114" i="15"/>
  <c r="AC112" i="15"/>
  <c r="B112" i="15"/>
  <c r="AC110" i="15"/>
  <c r="B110" i="15"/>
  <c r="AC108" i="15"/>
  <c r="AC106" i="15"/>
  <c r="B106" i="15"/>
  <c r="AC104" i="15"/>
  <c r="B104" i="15"/>
  <c r="AC102" i="15"/>
  <c r="B102" i="15"/>
  <c r="AC100" i="15"/>
  <c r="B100" i="15"/>
  <c r="AC98" i="15"/>
  <c r="B98" i="15"/>
  <c r="AA93" i="15"/>
  <c r="Z93" i="15"/>
  <c r="Y93" i="15"/>
  <c r="X93" i="15"/>
  <c r="W93" i="15"/>
  <c r="V93" i="15"/>
  <c r="U93" i="15"/>
  <c r="V91" i="15"/>
  <c r="V90" i="15"/>
  <c r="V89" i="15"/>
  <c r="V88" i="15"/>
  <c r="V87" i="15"/>
  <c r="V86" i="15"/>
  <c r="V85" i="15"/>
  <c r="V84" i="15"/>
  <c r="AC81" i="15"/>
  <c r="AB81" i="15"/>
  <c r="B81" i="15"/>
  <c r="AC79" i="15"/>
  <c r="AB79" i="15"/>
  <c r="B79" i="15"/>
  <c r="AC77" i="15"/>
  <c r="B77" i="15"/>
  <c r="AC75" i="15"/>
  <c r="B75" i="15"/>
  <c r="AA70" i="15"/>
  <c r="Z70" i="15"/>
  <c r="Y70" i="15"/>
  <c r="X70" i="15"/>
  <c r="W70" i="15"/>
  <c r="V70" i="15"/>
  <c r="U70" i="15"/>
  <c r="T70" i="15"/>
  <c r="S70" i="15"/>
  <c r="AC67" i="15"/>
  <c r="AB67" i="15"/>
  <c r="B67" i="15"/>
  <c r="AC65" i="15"/>
  <c r="AB65" i="15"/>
  <c r="B65" i="15"/>
  <c r="AC63" i="15"/>
  <c r="B63" i="15"/>
  <c r="AC61" i="15"/>
  <c r="B61" i="15"/>
  <c r="AA56" i="15"/>
  <c r="Z56" i="15"/>
  <c r="Y56" i="15"/>
  <c r="X56" i="15"/>
  <c r="W56" i="15"/>
  <c r="V56" i="15"/>
  <c r="U56" i="15"/>
  <c r="T56" i="15"/>
  <c r="S56" i="15"/>
  <c r="AC51" i="15"/>
  <c r="AB51" i="15"/>
  <c r="B51" i="15"/>
  <c r="AC49" i="15"/>
  <c r="AB49" i="15"/>
  <c r="B49" i="15"/>
  <c r="AC47" i="15"/>
  <c r="B47" i="15"/>
  <c r="AC45" i="15"/>
  <c r="B45" i="15"/>
  <c r="AA40" i="15"/>
  <c r="Z40" i="15"/>
  <c r="Y40" i="15"/>
  <c r="X40" i="15"/>
  <c r="W40" i="15"/>
  <c r="U40" i="15"/>
  <c r="T40" i="15"/>
  <c r="S40" i="15"/>
  <c r="Z32" i="15"/>
  <c r="Z30" i="15"/>
  <c r="M30" i="15"/>
  <c r="Z14" i="15"/>
  <c r="Z13" i="15"/>
  <c r="Z12" i="15"/>
  <c r="Z11" i="15"/>
  <c r="Z10" i="15"/>
  <c r="Z9" i="15"/>
  <c r="Z8" i="15"/>
  <c r="Z6" i="15"/>
  <c r="Z5" i="15"/>
  <c r="Z4" i="15"/>
  <c r="M4" i="15"/>
  <c r="S199" i="15" s="1"/>
  <c r="Z3" i="15"/>
  <c r="AA860" i="15" l="1"/>
  <c r="AA856" i="15"/>
  <c r="AA862" i="15"/>
  <c r="AA858" i="15"/>
  <c r="AA864" i="15"/>
  <c r="W210" i="15"/>
  <c r="U864" i="15"/>
  <c r="U862" i="15"/>
  <c r="U856" i="15"/>
  <c r="U860" i="15"/>
  <c r="U858" i="15"/>
  <c r="X876" i="15"/>
  <c r="X858" i="15"/>
  <c r="X860" i="15"/>
  <c r="X862" i="15"/>
  <c r="X856" i="15"/>
  <c r="X864" i="15"/>
  <c r="Y864" i="15"/>
  <c r="Y856" i="15"/>
  <c r="Y858" i="15"/>
  <c r="Y860" i="15"/>
  <c r="Y862" i="15"/>
  <c r="Z862" i="15"/>
  <c r="Z860" i="15"/>
  <c r="Z858" i="15"/>
  <c r="Z856" i="15"/>
  <c r="Z864" i="15"/>
  <c r="T407" i="15"/>
  <c r="U186" i="15"/>
  <c r="U178" i="15"/>
  <c r="U180" i="15"/>
  <c r="U184" i="15"/>
  <c r="U182" i="15"/>
  <c r="Z180" i="15"/>
  <c r="Z186" i="15"/>
  <c r="Z182" i="15"/>
  <c r="Z178" i="15"/>
  <c r="Z184" i="15"/>
  <c r="AA180" i="15"/>
  <c r="AA182" i="15"/>
  <c r="AA186" i="15"/>
  <c r="AA178" i="15"/>
  <c r="AA184" i="15"/>
  <c r="X180" i="15"/>
  <c r="X182" i="15"/>
  <c r="X184" i="15"/>
  <c r="X178" i="15"/>
  <c r="X186" i="15"/>
  <c r="Y178" i="15"/>
  <c r="Y182" i="15"/>
  <c r="Y184" i="15"/>
  <c r="Y186" i="15"/>
  <c r="Y180" i="15"/>
  <c r="Y286" i="15"/>
  <c r="Y290" i="15"/>
  <c r="Y288" i="15"/>
  <c r="Y292" i="15"/>
  <c r="Y284" i="15"/>
  <c r="Z286" i="15"/>
  <c r="Z290" i="15"/>
  <c r="Z288" i="15"/>
  <c r="Z292" i="15"/>
  <c r="Z284" i="15"/>
  <c r="AA286" i="15"/>
  <c r="AA288" i="15"/>
  <c r="AA292" i="15"/>
  <c r="AA284" i="15"/>
  <c r="AA290" i="15"/>
  <c r="AB284" i="15"/>
  <c r="AB290" i="15"/>
  <c r="AB286" i="15"/>
  <c r="AB288" i="15"/>
  <c r="AB292" i="15"/>
  <c r="U286" i="15"/>
  <c r="U290" i="15"/>
  <c r="U284" i="15"/>
  <c r="U292" i="15"/>
  <c r="U288" i="15"/>
  <c r="S286" i="15"/>
  <c r="S292" i="15"/>
  <c r="S288" i="15"/>
  <c r="S284" i="15"/>
  <c r="S290" i="15"/>
  <c r="W286" i="15"/>
  <c r="W290" i="15"/>
  <c r="W284" i="15"/>
  <c r="W288" i="15"/>
  <c r="W292" i="15"/>
  <c r="X286" i="15"/>
  <c r="X288" i="15"/>
  <c r="X292" i="15"/>
  <c r="X290" i="15"/>
  <c r="X284" i="15"/>
  <c r="Z396" i="15"/>
  <c r="Z394" i="15"/>
  <c r="Z398" i="15"/>
  <c r="Z390" i="15"/>
  <c r="Z392" i="15"/>
  <c r="AA390" i="15"/>
  <c r="AA398" i="15"/>
  <c r="AA394" i="15"/>
  <c r="AA396" i="15"/>
  <c r="AA392" i="15"/>
  <c r="X398" i="15"/>
  <c r="X396" i="15"/>
  <c r="X392" i="15"/>
  <c r="X394" i="15"/>
  <c r="X390" i="15"/>
  <c r="Y394" i="15"/>
  <c r="Y390" i="15"/>
  <c r="Y396" i="15"/>
  <c r="Y398" i="15"/>
  <c r="Y392" i="15"/>
  <c r="U396" i="15"/>
  <c r="U394" i="15"/>
  <c r="U398" i="15"/>
  <c r="U392" i="15"/>
  <c r="U390" i="15"/>
  <c r="W390" i="15"/>
  <c r="W392" i="15"/>
  <c r="W394" i="15"/>
  <c r="W396" i="15"/>
  <c r="W398" i="15"/>
  <c r="Z546" i="15"/>
  <c r="Z554" i="15"/>
  <c r="Z550" i="15"/>
  <c r="Z552" i="15"/>
  <c r="Z548" i="15"/>
  <c r="AA546" i="15"/>
  <c r="AA548" i="15"/>
  <c r="AA550" i="15"/>
  <c r="AA552" i="15"/>
  <c r="AA554" i="15"/>
  <c r="AB550" i="15"/>
  <c r="AB552" i="15"/>
  <c r="AB554" i="15"/>
  <c r="AB548" i="15"/>
  <c r="AB546" i="15"/>
  <c r="U554" i="15"/>
  <c r="U548" i="15"/>
  <c r="U550" i="15"/>
  <c r="U552" i="15"/>
  <c r="U546" i="15"/>
  <c r="X542" i="15"/>
  <c r="X548" i="15"/>
  <c r="X552" i="15"/>
  <c r="X554" i="15"/>
  <c r="X550" i="15"/>
  <c r="X546" i="15"/>
  <c r="Y548" i="15"/>
  <c r="Y552" i="15"/>
  <c r="Y546" i="15"/>
  <c r="Y550" i="15"/>
  <c r="Y554" i="15"/>
  <c r="W548" i="15"/>
  <c r="W552" i="15"/>
  <c r="W554" i="15"/>
  <c r="W546" i="15"/>
  <c r="W550" i="15"/>
  <c r="W657" i="15"/>
  <c r="W653" i="15"/>
  <c r="W655" i="15"/>
  <c r="W649" i="15"/>
  <c r="W651" i="15"/>
  <c r="X651" i="15"/>
  <c r="X657" i="15"/>
  <c r="X653" i="15"/>
  <c r="X649" i="15"/>
  <c r="X655" i="15"/>
  <c r="Y649" i="15"/>
  <c r="Y651" i="15"/>
  <c r="Y657" i="15"/>
  <c r="Y655" i="15"/>
  <c r="Y653" i="15"/>
  <c r="AB655" i="15"/>
  <c r="AB651" i="15"/>
  <c r="AB657" i="15"/>
  <c r="AB653" i="15"/>
  <c r="AB649" i="15"/>
  <c r="U649" i="15"/>
  <c r="U651" i="15"/>
  <c r="U655" i="15"/>
  <c r="U657" i="15"/>
  <c r="U653" i="15"/>
  <c r="Z657" i="15"/>
  <c r="Z649" i="15"/>
  <c r="Z655" i="15"/>
  <c r="Z651" i="15"/>
  <c r="Z653" i="15"/>
  <c r="AA657" i="15"/>
  <c r="AA653" i="15"/>
  <c r="AA651" i="15"/>
  <c r="AA649" i="15"/>
  <c r="AA655" i="15"/>
  <c r="Y753" i="15"/>
  <c r="Y759" i="15"/>
  <c r="Y751" i="15"/>
  <c r="Y755" i="15"/>
  <c r="Y757" i="15"/>
  <c r="W759" i="15"/>
  <c r="W753" i="15"/>
  <c r="W751" i="15"/>
  <c r="W755" i="15"/>
  <c r="W757" i="15"/>
  <c r="Z753" i="15"/>
  <c r="Z751" i="15"/>
  <c r="Z755" i="15"/>
  <c r="Z759" i="15"/>
  <c r="Z757" i="15"/>
  <c r="AA757" i="15"/>
  <c r="AA751" i="15"/>
  <c r="AA753" i="15"/>
  <c r="AA759" i="15"/>
  <c r="AA755" i="15"/>
  <c r="X751" i="15"/>
  <c r="X757" i="15"/>
  <c r="X755" i="15"/>
  <c r="X759" i="15"/>
  <c r="X753" i="15"/>
  <c r="U753" i="15"/>
  <c r="U759" i="15"/>
  <c r="U757" i="15"/>
  <c r="U751" i="15"/>
  <c r="U755" i="15"/>
  <c r="U963" i="15"/>
  <c r="U969" i="15"/>
  <c r="U961" i="15"/>
  <c r="U965" i="15"/>
  <c r="U967" i="15"/>
  <c r="X965" i="15"/>
  <c r="X963" i="15"/>
  <c r="X967" i="15"/>
  <c r="X961" i="15"/>
  <c r="X969" i="15"/>
  <c r="V881" i="15"/>
  <c r="U1075" i="15"/>
  <c r="U1079" i="15"/>
  <c r="U1081" i="15"/>
  <c r="U1083" i="15"/>
  <c r="U1077" i="15"/>
  <c r="U1174" i="15"/>
  <c r="U1176" i="15"/>
  <c r="U1178" i="15"/>
  <c r="U1180" i="15"/>
  <c r="U1172" i="15"/>
  <c r="V683" i="15"/>
  <c r="V889" i="15"/>
  <c r="V1073" i="15"/>
  <c r="W246" i="15"/>
  <c r="W575" i="15"/>
  <c r="U228" i="15"/>
  <c r="U244" i="15"/>
  <c r="U260" i="15"/>
  <c r="U276" i="15"/>
  <c r="U425" i="15"/>
  <c r="S93" i="15"/>
  <c r="U100" i="15"/>
  <c r="U108" i="15"/>
  <c r="U116" i="15"/>
  <c r="U124" i="15"/>
  <c r="U132" i="15"/>
  <c r="U140" i="15"/>
  <c r="U148" i="15"/>
  <c r="Z208" i="15"/>
  <c r="Z224" i="15"/>
  <c r="AB407" i="15"/>
  <c r="U474" i="15"/>
  <c r="Y104" i="15"/>
  <c r="Y112" i="15"/>
  <c r="Y120" i="15"/>
  <c r="Y128" i="15"/>
  <c r="AB106" i="15"/>
  <c r="W318" i="15"/>
  <c r="Y330" i="15"/>
  <c r="Y334" i="15"/>
  <c r="Y338" i="15"/>
  <c r="W354" i="15"/>
  <c r="W358" i="15"/>
  <c r="Y776" i="15"/>
  <c r="Z220" i="15"/>
  <c r="AB70" i="15"/>
  <c r="U150" i="15"/>
  <c r="U166" i="15"/>
  <c r="W492" i="15"/>
  <c r="W591" i="15"/>
  <c r="W607" i="15"/>
  <c r="V1001" i="15"/>
  <c r="AB645" i="15"/>
  <c r="V771" i="15"/>
  <c r="V784" i="15" s="1"/>
  <c r="W470" i="15"/>
  <c r="U695" i="15"/>
  <c r="Y802" i="15"/>
  <c r="Z818" i="15"/>
  <c r="U933" i="15"/>
  <c r="U949" i="15"/>
  <c r="AB61" i="15"/>
  <c r="Z312" i="15"/>
  <c r="Z316" i="15"/>
  <c r="W344" i="15"/>
  <c r="W368" i="15"/>
  <c r="U407" i="15"/>
  <c r="V749" i="15"/>
  <c r="V792" i="15"/>
  <c r="Z51" i="15"/>
  <c r="W65" i="15"/>
  <c r="AB104" i="15"/>
  <c r="W409" i="15"/>
  <c r="W486" i="15"/>
  <c r="W518" i="15"/>
  <c r="X573" i="15"/>
  <c r="X589" i="15"/>
  <c r="W625" i="15"/>
  <c r="W629" i="15"/>
  <c r="W645" i="15"/>
  <c r="X711" i="15"/>
  <c r="Z735" i="15"/>
  <c r="V577" i="15"/>
  <c r="V472" i="15"/>
  <c r="AB512" i="15" s="1"/>
  <c r="V466" i="15"/>
  <c r="AB498" i="15" s="1"/>
  <c r="V569" i="15"/>
  <c r="AB607" i="15" s="1"/>
  <c r="V715" i="15"/>
  <c r="U1043" i="15"/>
  <c r="V443" i="15"/>
  <c r="X374" i="15"/>
  <c r="V846" i="15"/>
  <c r="V1119" i="15"/>
  <c r="V798" i="15"/>
  <c r="V814" i="15"/>
  <c r="V595" i="15"/>
  <c r="V1025" i="15"/>
  <c r="V1037" i="15"/>
  <c r="V352" i="15"/>
  <c r="V356" i="15"/>
  <c r="V488" i="15"/>
  <c r="V226" i="15"/>
  <c r="V242" i="15"/>
  <c r="V258" i="15"/>
  <c r="V1015" i="15"/>
  <c r="V1027" i="15"/>
  <c r="V1031" i="15"/>
  <c r="V534" i="15"/>
  <c r="V691" i="15"/>
  <c r="V699" i="15"/>
  <c r="V707" i="15"/>
  <c r="V842" i="15"/>
  <c r="V905" i="15"/>
  <c r="V929" i="15"/>
  <c r="V949" i="15"/>
  <c r="V685" i="15"/>
  <c r="AA536" i="15"/>
  <c r="AA45" i="15"/>
  <c r="V494" i="15"/>
  <c r="C677" i="15"/>
  <c r="K676" i="15" s="1"/>
  <c r="L677" i="15" s="1"/>
  <c r="V146" i="15"/>
  <c r="AB184" i="15" s="1"/>
  <c r="AA633" i="15"/>
  <c r="AA784" i="15"/>
  <c r="AA788" i="15"/>
  <c r="AA832" i="15"/>
  <c r="AB466" i="15"/>
  <c r="AA679" i="15"/>
  <c r="AA735" i="15"/>
  <c r="AA743" i="15"/>
  <c r="AA715" i="15"/>
  <c r="AA723" i="15"/>
  <c r="AA747" i="15"/>
  <c r="AA447" i="15"/>
  <c r="AA322" i="15"/>
  <c r="AA310" i="15"/>
  <c r="AA102" i="15"/>
  <c r="AA110" i="15"/>
  <c r="AA118" i="15"/>
  <c r="AA126" i="15"/>
  <c r="AA134" i="15"/>
  <c r="AA142" i="15"/>
  <c r="AA214" i="15"/>
  <c r="AA386" i="15"/>
  <c r="AA427" i="15"/>
  <c r="AA411" i="15"/>
  <c r="AA61" i="15"/>
  <c r="Z587" i="15"/>
  <c r="Z603" i="15"/>
  <c r="Z639" i="15"/>
  <c r="Z854" i="15"/>
  <c r="Z480" i="15"/>
  <c r="Z320" i="15"/>
  <c r="Z348" i="15"/>
  <c r="Z63" i="15"/>
  <c r="Y611" i="15"/>
  <c r="Y631" i="15"/>
  <c r="Y506" i="15"/>
  <c r="Y510" i="15"/>
  <c r="Y332" i="15"/>
  <c r="Y336" i="15"/>
  <c r="Y380" i="15"/>
  <c r="Y136" i="15"/>
  <c r="Y144" i="15"/>
  <c r="Y388" i="15"/>
  <c r="Y342" i="15"/>
  <c r="Y79" i="15"/>
  <c r="AB56" i="15"/>
  <c r="AB77" i="15"/>
  <c r="X597" i="15"/>
  <c r="X605" i="15"/>
  <c r="X621" i="15"/>
  <c r="X637" i="15"/>
  <c r="X583" i="15"/>
  <c r="X599" i="15"/>
  <c r="X778" i="15"/>
  <c r="X796" i="15"/>
  <c r="X812" i="15"/>
  <c r="X893" i="15"/>
  <c r="X685" i="15"/>
  <c r="X693" i="15"/>
  <c r="X701" i="15"/>
  <c r="X733" i="15"/>
  <c r="X749" i="15"/>
  <c r="X468" i="15"/>
  <c r="X522" i="15"/>
  <c r="X530" i="15"/>
  <c r="X885" i="15"/>
  <c r="X826" i="15"/>
  <c r="X790" i="15"/>
  <c r="X820" i="15"/>
  <c r="X689" i="15"/>
  <c r="X780" i="15"/>
  <c r="X484" i="15"/>
  <c r="X500" i="15"/>
  <c r="X370" i="15"/>
  <c r="X204" i="15"/>
  <c r="X212" i="15"/>
  <c r="X272" i="15"/>
  <c r="AB310" i="15"/>
  <c r="X238" i="15"/>
  <c r="X254" i="15"/>
  <c r="X270" i="15"/>
  <c r="AB40" i="15"/>
  <c r="U887" i="15"/>
  <c r="U828" i="15"/>
  <c r="U1127" i="15"/>
  <c r="U800" i="15"/>
  <c r="U919" i="15"/>
  <c r="U943" i="15"/>
  <c r="U921" i="15"/>
  <c r="U1155" i="15"/>
  <c r="AB540" i="15"/>
  <c r="U490" i="15"/>
  <c r="U502" i="15"/>
  <c r="U717" i="15"/>
  <c r="U741" i="15"/>
  <c r="AB461" i="15"/>
  <c r="AB452" i="15" s="1"/>
  <c r="AB482" i="15"/>
  <c r="AB518" i="15"/>
  <c r="U673" i="15"/>
  <c r="U536" i="15"/>
  <c r="U681" i="15"/>
  <c r="U729" i="15"/>
  <c r="U737" i="15"/>
  <c r="U152" i="15"/>
  <c r="U168" i="15"/>
  <c r="U324" i="15"/>
  <c r="U433" i="15"/>
  <c r="U156" i="15"/>
  <c r="U172" i="15"/>
  <c r="U240" i="15"/>
  <c r="U158" i="15"/>
  <c r="U174" i="15"/>
  <c r="U106" i="15"/>
  <c r="U114" i="15"/>
  <c r="U122" i="15"/>
  <c r="U160" i="15"/>
  <c r="U282" i="15"/>
  <c r="U162" i="15"/>
  <c r="AB47" i="15"/>
  <c r="U413" i="15"/>
  <c r="T49" i="15"/>
  <c r="T81" i="15"/>
  <c r="T77" i="15"/>
  <c r="T47" i="15"/>
  <c r="T67" i="15"/>
  <c r="V130" i="15"/>
  <c r="AB168" i="15" s="1"/>
  <c r="X228" i="15"/>
  <c r="Y280" i="15"/>
  <c r="J260" i="15"/>
  <c r="V693" i="15"/>
  <c r="V701" i="15"/>
  <c r="V260" i="15"/>
  <c r="AA647" i="15"/>
  <c r="U98" i="15"/>
  <c r="J98" i="15"/>
  <c r="H320" i="15"/>
  <c r="AA844" i="15"/>
  <c r="V844" i="15"/>
  <c r="V502" i="15"/>
  <c r="V232" i="15"/>
  <c r="L77" i="15"/>
  <c r="V156" i="15"/>
  <c r="Y140" i="15"/>
  <c r="V236" i="15"/>
  <c r="V166" i="15"/>
  <c r="Z176" i="15"/>
  <c r="U81" i="15"/>
  <c r="J106" i="15"/>
  <c r="V366" i="15"/>
  <c r="AA836" i="15"/>
  <c r="S276" i="15"/>
  <c r="C685" i="15"/>
  <c r="K684" i="15" s="1"/>
  <c r="K685" i="15" s="1"/>
  <c r="Y168" i="15"/>
  <c r="V350" i="15"/>
  <c r="V276" i="15"/>
  <c r="AA276" i="15"/>
  <c r="Z344" i="15"/>
  <c r="W75" i="15"/>
  <c r="L75" i="15"/>
  <c r="M75" i="15"/>
  <c r="K75" i="15"/>
  <c r="AA342" i="15"/>
  <c r="Z832" i="15"/>
  <c r="H344" i="15"/>
  <c r="M367" i="15"/>
  <c r="M368" i="15" s="1"/>
  <c r="AA443" i="15"/>
  <c r="J1125" i="15"/>
  <c r="U905" i="15"/>
  <c r="H484" i="15"/>
  <c r="J425" i="15"/>
  <c r="V81" i="15"/>
  <c r="AB112" i="15" s="1"/>
  <c r="L643" i="15"/>
  <c r="Q643" i="15" s="1"/>
  <c r="J931" i="15"/>
  <c r="M683" i="15"/>
  <c r="Q683" i="15" s="1"/>
  <c r="U318" i="15"/>
  <c r="C731" i="15"/>
  <c r="M731" i="15" s="1"/>
  <c r="Q731" i="15" s="1"/>
  <c r="K536" i="15"/>
  <c r="N536" i="15" s="1"/>
  <c r="Z577" i="15"/>
  <c r="U49" i="15"/>
  <c r="Z81" i="15"/>
  <c r="L682" i="15"/>
  <c r="H929" i="15"/>
  <c r="K957" i="15"/>
  <c r="N957" i="15" s="1"/>
  <c r="K140" i="15"/>
  <c r="M951" i="15"/>
  <c r="Q951" i="15" s="1"/>
  <c r="N380" i="15"/>
  <c r="V47" i="15"/>
  <c r="H156" i="15"/>
  <c r="H800" i="15"/>
  <c r="J824" i="15"/>
  <c r="J832" i="15"/>
  <c r="U1013" i="15"/>
  <c r="Y824" i="15"/>
  <c r="K832" i="15"/>
  <c r="N832" i="15" s="1"/>
  <c r="K887" i="15"/>
  <c r="N887" i="15" s="1"/>
  <c r="V1013" i="15"/>
  <c r="U1091" i="15"/>
  <c r="K47" i="15"/>
  <c r="U310" i="15"/>
  <c r="L433" i="15"/>
  <c r="J484" i="15"/>
  <c r="H522" i="15"/>
  <c r="Z613" i="15"/>
  <c r="X887" i="15"/>
  <c r="Z310" i="15"/>
  <c r="J318" i="15"/>
  <c r="H482" i="15"/>
  <c r="K1107" i="15"/>
  <c r="N1107" i="15" s="1"/>
  <c r="V114" i="15"/>
  <c r="AB152" i="15" s="1"/>
  <c r="L98" i="15"/>
  <c r="V126" i="15"/>
  <c r="AB164" i="15" s="1"/>
  <c r="T411" i="15"/>
  <c r="K599" i="15"/>
  <c r="N599" i="15" s="1"/>
  <c r="K629" i="15"/>
  <c r="N629" i="15" s="1"/>
  <c r="H784" i="15"/>
  <c r="J1033" i="15"/>
  <c r="J1115" i="15"/>
  <c r="V411" i="15"/>
  <c r="Y607" i="15"/>
  <c r="H114" i="15"/>
  <c r="V220" i="15"/>
  <c r="J330" i="15"/>
  <c r="J368" i="15"/>
  <c r="K114" i="15"/>
  <c r="V431" i="15"/>
  <c r="K486" i="15"/>
  <c r="N486" i="15" s="1"/>
  <c r="J524" i="15"/>
  <c r="J645" i="15"/>
  <c r="H818" i="15"/>
  <c r="H832" i="15"/>
  <c r="J1031" i="15"/>
  <c r="J1049" i="15"/>
  <c r="L47" i="15"/>
  <c r="AA51" i="15"/>
  <c r="X67" i="15"/>
  <c r="V122" i="15"/>
  <c r="AB160" i="15" s="1"/>
  <c r="H122" i="15"/>
  <c r="H148" i="15"/>
  <c r="H214" i="15"/>
  <c r="Y384" i="15"/>
  <c r="M369" i="15"/>
  <c r="M370" i="15" s="1"/>
  <c r="X472" i="15"/>
  <c r="V617" i="15"/>
  <c r="K605" i="15"/>
  <c r="N605" i="15" s="1"/>
  <c r="V679" i="15"/>
  <c r="I693" i="15"/>
  <c r="H931" i="15"/>
  <c r="H945" i="15"/>
  <c r="K1037" i="15"/>
  <c r="N1037" i="15" s="1"/>
  <c r="H1047" i="15"/>
  <c r="U334" i="15"/>
  <c r="J352" i="15"/>
  <c r="J370" i="15"/>
  <c r="K148" i="15"/>
  <c r="J100" i="15"/>
  <c r="K106" i="15"/>
  <c r="L122" i="15"/>
  <c r="V268" i="15"/>
  <c r="H268" i="15"/>
  <c r="J316" i="15"/>
  <c r="H342" i="15"/>
  <c r="V433" i="15"/>
  <c r="J482" i="15"/>
  <c r="O516" i="15"/>
  <c r="R516" i="15" s="1"/>
  <c r="J540" i="15"/>
  <c r="AA577" i="15"/>
  <c r="K583" i="15"/>
  <c r="N583" i="15" s="1"/>
  <c r="I713" i="15"/>
  <c r="X822" i="15"/>
  <c r="H834" i="15"/>
  <c r="M836" i="15"/>
  <c r="Q836" i="15" s="1"/>
  <c r="J848" i="15"/>
  <c r="M993" i="15"/>
  <c r="Q993" i="15" s="1"/>
  <c r="J1045" i="15"/>
  <c r="W1095" i="15"/>
  <c r="J1113" i="15"/>
  <c r="L45" i="15"/>
  <c r="S45" i="15"/>
  <c r="K49" i="15"/>
  <c r="H150" i="15"/>
  <c r="U322" i="15"/>
  <c r="H332" i="15"/>
  <c r="U488" i="15"/>
  <c r="H480" i="15"/>
  <c r="U583" i="15"/>
  <c r="U603" i="15"/>
  <c r="W641" i="15"/>
  <c r="AA713" i="15"/>
  <c r="K1045" i="15"/>
  <c r="N1045" i="15" s="1"/>
  <c r="Y45" i="15"/>
  <c r="Z322" i="15"/>
  <c r="J332" i="15"/>
  <c r="M361" i="15"/>
  <c r="M362" i="15" s="1"/>
  <c r="H468" i="15"/>
  <c r="J480" i="15"/>
  <c r="J488" i="15"/>
  <c r="H510" i="15"/>
  <c r="W583" i="15"/>
  <c r="H589" i="15"/>
  <c r="J631" i="15"/>
  <c r="H699" i="15"/>
  <c r="U822" i="15"/>
  <c r="J792" i="15"/>
  <c r="U832" i="15"/>
  <c r="H917" i="15"/>
  <c r="J947" i="15"/>
  <c r="J1025" i="15"/>
  <c r="W1103" i="15"/>
  <c r="H1117" i="15"/>
  <c r="W1137" i="15"/>
  <c r="K122" i="15"/>
  <c r="K61" i="15"/>
  <c r="L67" i="15"/>
  <c r="H108" i="15"/>
  <c r="W544" i="15"/>
  <c r="J468" i="15"/>
  <c r="H500" i="15"/>
  <c r="U713" i="15"/>
  <c r="C679" i="15"/>
  <c r="M679" i="15" s="1"/>
  <c r="Q679" i="15" s="1"/>
  <c r="C695" i="15"/>
  <c r="K694" i="15" s="1"/>
  <c r="L695" i="15" s="1"/>
  <c r="J707" i="15"/>
  <c r="H802" i="15"/>
  <c r="H899" i="15"/>
  <c r="J917" i="15"/>
  <c r="H1009" i="15"/>
  <c r="J1015" i="15"/>
  <c r="W1117" i="15"/>
  <c r="U67" i="15"/>
  <c r="J108" i="15"/>
  <c r="J114" i="15"/>
  <c r="J140" i="15"/>
  <c r="H258" i="15"/>
  <c r="J320" i="15"/>
  <c r="W362" i="15"/>
  <c r="H466" i="15"/>
  <c r="H486" i="15"/>
  <c r="AA500" i="15"/>
  <c r="H743" i="15"/>
  <c r="U780" i="15"/>
  <c r="U917" i="15"/>
  <c r="J1009" i="15"/>
  <c r="H1033" i="15"/>
  <c r="H1049" i="15"/>
  <c r="H252" i="15"/>
  <c r="J252" i="15"/>
  <c r="U164" i="15"/>
  <c r="H164" i="15"/>
  <c r="W476" i="15"/>
  <c r="U476" i="15"/>
  <c r="K476" i="15"/>
  <c r="N476" i="15" s="1"/>
  <c r="K881" i="15"/>
  <c r="N881" i="15" s="1"/>
  <c r="J881" i="15"/>
  <c r="H881" i="15"/>
  <c r="U176" i="15"/>
  <c r="Y176" i="15"/>
  <c r="L176" i="15"/>
  <c r="K176" i="15"/>
  <c r="J176" i="15"/>
  <c r="V609" i="15"/>
  <c r="X609" i="15"/>
  <c r="J132" i="15"/>
  <c r="H238" i="15"/>
  <c r="W47" i="15"/>
  <c r="V67" i="15"/>
  <c r="J116" i="15"/>
  <c r="J124" i="15"/>
  <c r="K132" i="15"/>
  <c r="W146" i="15"/>
  <c r="Z146" i="15"/>
  <c r="L146" i="15"/>
  <c r="K146" i="15"/>
  <c r="H146" i="15"/>
  <c r="L619" i="15"/>
  <c r="M619" i="15"/>
  <c r="J1129" i="15"/>
  <c r="K1129" i="15"/>
  <c r="N1129" i="15" s="1"/>
  <c r="Z328" i="15"/>
  <c r="W328" i="15"/>
  <c r="AA739" i="15"/>
  <c r="J739" i="15"/>
  <c r="L945" i="15"/>
  <c r="M945" i="15"/>
  <c r="V49" i="15"/>
  <c r="X47" i="15"/>
  <c r="W67" i="15"/>
  <c r="X75" i="15"/>
  <c r="K98" i="15"/>
  <c r="L116" i="15"/>
  <c r="K124" i="15"/>
  <c r="Z496" i="15"/>
  <c r="U496" i="15"/>
  <c r="K496" i="15"/>
  <c r="N496" i="15" s="1"/>
  <c r="J496" i="15"/>
  <c r="H496" i="15"/>
  <c r="M617" i="15"/>
  <c r="L617" i="15"/>
  <c r="K700" i="15"/>
  <c r="L701" i="15" s="1"/>
  <c r="M701" i="15"/>
  <c r="Q701" i="15" s="1"/>
  <c r="X727" i="15"/>
  <c r="H727" i="15"/>
  <c r="I747" i="15"/>
  <c r="C747" i="15"/>
  <c r="M747" i="15" s="1"/>
  <c r="Q747" i="15" s="1"/>
  <c r="H116" i="15"/>
  <c r="Z47" i="15"/>
  <c r="V124" i="15"/>
  <c r="AB162" i="15" s="1"/>
  <c r="U130" i="15"/>
  <c r="X130" i="15"/>
  <c r="L130" i="15"/>
  <c r="Y350" i="15"/>
  <c r="J350" i="15"/>
  <c r="P534" i="15"/>
  <c r="O534" i="15"/>
  <c r="V585" i="15"/>
  <c r="J585" i="15"/>
  <c r="W138" i="15"/>
  <c r="H130" i="15"/>
  <c r="U170" i="15"/>
  <c r="Y170" i="15"/>
  <c r="K206" i="15"/>
  <c r="N206" i="15" s="1"/>
  <c r="J206" i="15"/>
  <c r="H206" i="15"/>
  <c r="H314" i="15"/>
  <c r="Z314" i="15"/>
  <c r="U314" i="15"/>
  <c r="J314" i="15"/>
  <c r="Y340" i="15"/>
  <c r="U340" i="15"/>
  <c r="J340" i="15"/>
  <c r="H340" i="15"/>
  <c r="X376" i="15"/>
  <c r="M375" i="15"/>
  <c r="M376" i="15" s="1"/>
  <c r="U725" i="15"/>
  <c r="X725" i="15"/>
  <c r="V725" i="15"/>
  <c r="L846" i="15"/>
  <c r="M846" i="15"/>
  <c r="M1121" i="15"/>
  <c r="L1121" i="15"/>
  <c r="U138" i="15"/>
  <c r="X138" i="15"/>
  <c r="L138" i="15"/>
  <c r="K138" i="15"/>
  <c r="H138" i="15"/>
  <c r="V176" i="15"/>
  <c r="H176" i="15"/>
  <c r="H49" i="15"/>
  <c r="S51" i="15"/>
  <c r="L61" i="15"/>
  <c r="H67" i="15"/>
  <c r="J77" i="15"/>
  <c r="W81" i="15"/>
  <c r="X176" i="15"/>
  <c r="H118" i="15"/>
  <c r="K130" i="15"/>
  <c r="X677" i="15"/>
  <c r="J677" i="15"/>
  <c r="K692" i="15"/>
  <c r="K693" i="15" s="1"/>
  <c r="M693" i="15"/>
  <c r="Q693" i="15" s="1"/>
  <c r="L1037" i="15"/>
  <c r="M1037" i="15"/>
  <c r="H47" i="15"/>
  <c r="U47" i="15"/>
  <c r="X45" i="15"/>
  <c r="J47" i="15"/>
  <c r="J49" i="15"/>
  <c r="U51" i="15"/>
  <c r="K67" i="15"/>
  <c r="T79" i="15"/>
  <c r="K77" i="15"/>
  <c r="X81" i="15"/>
  <c r="H100" i="15"/>
  <c r="H106" i="15"/>
  <c r="V118" i="15"/>
  <c r="AB156" i="15" s="1"/>
  <c r="X122" i="15"/>
  <c r="H126" i="15"/>
  <c r="V498" i="15"/>
  <c r="K498" i="15"/>
  <c r="N498" i="15" s="1"/>
  <c r="I671" i="15"/>
  <c r="C671" i="15"/>
  <c r="K670" i="15" s="1"/>
  <c r="L671" i="15" s="1"/>
  <c r="M800" i="15"/>
  <c r="L800" i="15"/>
  <c r="M1125" i="15"/>
  <c r="L1125" i="15"/>
  <c r="U1107" i="15"/>
  <c r="K1113" i="15"/>
  <c r="N1113" i="15" s="1"/>
  <c r="K1115" i="15"/>
  <c r="N1115" i="15" s="1"/>
  <c r="K1131" i="15"/>
  <c r="N1131" i="15" s="1"/>
  <c r="J1157" i="15"/>
  <c r="L148" i="15"/>
  <c r="W274" i="15"/>
  <c r="V376" i="15"/>
  <c r="W316" i="15"/>
  <c r="Z318" i="15"/>
  <c r="AA320" i="15"/>
  <c r="W330" i="15"/>
  <c r="U332" i="15"/>
  <c r="J342" i="15"/>
  <c r="J344" i="15"/>
  <c r="J431" i="15"/>
  <c r="J445" i="15"/>
  <c r="Y544" i="15"/>
  <c r="J466" i="15"/>
  <c r="K480" i="15"/>
  <c r="N480" i="15" s="1"/>
  <c r="K482" i="15"/>
  <c r="N482" i="15" s="1"/>
  <c r="Y484" i="15"/>
  <c r="X486" i="15"/>
  <c r="U587" i="15"/>
  <c r="J589" i="15"/>
  <c r="H591" i="15"/>
  <c r="V597" i="15"/>
  <c r="H603" i="15"/>
  <c r="AA611" i="15"/>
  <c r="Y733" i="15"/>
  <c r="I701" i="15"/>
  <c r="I721" i="15"/>
  <c r="I723" i="15"/>
  <c r="H735" i="15"/>
  <c r="I737" i="15"/>
  <c r="X743" i="15"/>
  <c r="J776" i="15"/>
  <c r="K784" i="15"/>
  <c r="N784" i="15" s="1"/>
  <c r="U786" i="15"/>
  <c r="K796" i="15"/>
  <c r="N796" i="15" s="1"/>
  <c r="J802" i="15"/>
  <c r="J818" i="15"/>
  <c r="M842" i="15"/>
  <c r="Q842" i="15" s="1"/>
  <c r="H844" i="15"/>
  <c r="V927" i="15"/>
  <c r="H883" i="15"/>
  <c r="U891" i="15"/>
  <c r="J941" i="15"/>
  <c r="H955" i="15"/>
  <c r="V1039" i="15"/>
  <c r="H985" i="15"/>
  <c r="J1105" i="15"/>
  <c r="U1113" i="15"/>
  <c r="H1127" i="15"/>
  <c r="H1141" i="15"/>
  <c r="K1155" i="15"/>
  <c r="N1155" i="15" s="1"/>
  <c r="V252" i="15"/>
  <c r="H270" i="15"/>
  <c r="H312" i="15"/>
  <c r="AA316" i="15"/>
  <c r="Z330" i="15"/>
  <c r="W332" i="15"/>
  <c r="H338" i="15"/>
  <c r="U342" i="15"/>
  <c r="U344" i="15"/>
  <c r="V427" i="15"/>
  <c r="X445" i="15"/>
  <c r="U480" i="15"/>
  <c r="AA484" i="15"/>
  <c r="Y486" i="15"/>
  <c r="U615" i="15"/>
  <c r="K589" i="15"/>
  <c r="N589" i="15" s="1"/>
  <c r="J591" i="15"/>
  <c r="J723" i="15"/>
  <c r="J737" i="15"/>
  <c r="I739" i="15"/>
  <c r="AA800" i="15"/>
  <c r="K802" i="15"/>
  <c r="N802" i="15" s="1"/>
  <c r="K818" i="15"/>
  <c r="N818" i="15" s="1"/>
  <c r="J955" i="15"/>
  <c r="J985" i="15"/>
  <c r="K991" i="15"/>
  <c r="N991" i="15" s="1"/>
  <c r="K1105" i="15"/>
  <c r="N1105" i="15" s="1"/>
  <c r="U1125" i="15"/>
  <c r="J1127" i="15"/>
  <c r="J1141" i="15"/>
  <c r="H134" i="15"/>
  <c r="H142" i="15"/>
  <c r="H166" i="15"/>
  <c r="H172" i="15"/>
  <c r="K270" i="15"/>
  <c r="N270" i="15" s="1"/>
  <c r="W312" i="15"/>
  <c r="J326" i="15"/>
  <c r="Z332" i="15"/>
  <c r="J338" i="15"/>
  <c r="W342" i="15"/>
  <c r="M371" i="15"/>
  <c r="M372" i="15" s="1"/>
  <c r="W443" i="15"/>
  <c r="J443" i="15"/>
  <c r="V530" i="15"/>
  <c r="Z486" i="15"/>
  <c r="J508" i="15"/>
  <c r="H575" i="15"/>
  <c r="U589" i="15"/>
  <c r="K591" i="15"/>
  <c r="N591" i="15" s="1"/>
  <c r="AA603" i="15"/>
  <c r="H615" i="15"/>
  <c r="H639" i="15"/>
  <c r="C687" i="15"/>
  <c r="K686" i="15" s="1"/>
  <c r="K687" i="15" s="1"/>
  <c r="AA701" i="15"/>
  <c r="C715" i="15"/>
  <c r="K714" i="15" s="1"/>
  <c r="V723" i="15"/>
  <c r="I727" i="15"/>
  <c r="V731" i="15"/>
  <c r="H939" i="15"/>
  <c r="H989" i="15"/>
  <c r="K1127" i="15"/>
  <c r="N1127" i="15" s="1"/>
  <c r="K1141" i="15"/>
  <c r="N1141" i="15" s="1"/>
  <c r="V134" i="15"/>
  <c r="AB172" i="15" s="1"/>
  <c r="V142" i="15"/>
  <c r="AB180" i="15" s="1"/>
  <c r="K150" i="15"/>
  <c r="K158" i="15"/>
  <c r="K166" i="15"/>
  <c r="H254" i="15"/>
  <c r="V328" i="15"/>
  <c r="H310" i="15"/>
  <c r="AA312" i="15"/>
  <c r="L319" i="15"/>
  <c r="L320" i="15" s="1"/>
  <c r="H324" i="15"/>
  <c r="Z326" i="15"/>
  <c r="L329" i="15"/>
  <c r="L330" i="15" s="1"/>
  <c r="U338" i="15"/>
  <c r="H407" i="15"/>
  <c r="K443" i="15"/>
  <c r="N443" i="15" s="1"/>
  <c r="K472" i="15"/>
  <c r="N472" i="15" s="1"/>
  <c r="X474" i="15"/>
  <c r="J575" i="15"/>
  <c r="H577" i="15"/>
  <c r="Z589" i="15"/>
  <c r="Z595" i="15"/>
  <c r="X615" i="15"/>
  <c r="H631" i="15"/>
  <c r="H633" i="15"/>
  <c r="H647" i="15"/>
  <c r="H683" i="15"/>
  <c r="C707" i="15"/>
  <c r="K706" i="15" s="1"/>
  <c r="K707" i="15" s="1"/>
  <c r="L710" i="15"/>
  <c r="H713" i="15"/>
  <c r="K780" i="15"/>
  <c r="N780" i="15" s="1"/>
  <c r="K812" i="15"/>
  <c r="N812" i="15" s="1"/>
  <c r="J919" i="15"/>
  <c r="J939" i="15"/>
  <c r="Y150" i="15"/>
  <c r="H174" i="15"/>
  <c r="U214" i="15"/>
  <c r="J236" i="15"/>
  <c r="K254" i="15"/>
  <c r="N254" i="15" s="1"/>
  <c r="H260" i="15"/>
  <c r="V338" i="15"/>
  <c r="J324" i="15"/>
  <c r="U336" i="15"/>
  <c r="K407" i="15"/>
  <c r="N407" i="15" s="1"/>
  <c r="H502" i="15"/>
  <c r="U573" i="15"/>
  <c r="Y575" i="15"/>
  <c r="X577" i="15"/>
  <c r="V816" i="15"/>
  <c r="Y160" i="15"/>
  <c r="K168" i="15"/>
  <c r="K174" i="15"/>
  <c r="W324" i="15"/>
  <c r="M345" i="15"/>
  <c r="M346" i="15" s="1"/>
  <c r="L359" i="15"/>
  <c r="L360" i="15" s="1"/>
  <c r="W407" i="15"/>
  <c r="V447" i="15"/>
  <c r="H470" i="15"/>
  <c r="Y472" i="15"/>
  <c r="AA575" i="15"/>
  <c r="K631" i="15"/>
  <c r="N631" i="15" s="1"/>
  <c r="H643" i="15"/>
  <c r="U645" i="15"/>
  <c r="J685" i="15"/>
  <c r="AA822" i="15"/>
  <c r="K905" i="15"/>
  <c r="N905" i="15" s="1"/>
  <c r="L919" i="15"/>
  <c r="Q919" i="15" s="1"/>
  <c r="K1015" i="15"/>
  <c r="N1015" i="15" s="1"/>
  <c r="H1031" i="15"/>
  <c r="V1047" i="15"/>
  <c r="H1115" i="15"/>
  <c r="W1133" i="15"/>
  <c r="H61" i="15"/>
  <c r="W61" i="15"/>
  <c r="L65" i="15"/>
  <c r="H77" i="15"/>
  <c r="L81" i="15"/>
  <c r="H98" i="15"/>
  <c r="X100" i="15"/>
  <c r="X108" i="15"/>
  <c r="Y152" i="15"/>
  <c r="W222" i="15"/>
  <c r="K222" i="15"/>
  <c r="N222" i="15" s="1"/>
  <c r="H222" i="15"/>
  <c r="O542" i="15"/>
  <c r="P542" i="15"/>
  <c r="Z571" i="15"/>
  <c r="AA571" i="15"/>
  <c r="U571" i="15"/>
  <c r="K571" i="15"/>
  <c r="N571" i="15" s="1"/>
  <c r="H571" i="15"/>
  <c r="V593" i="15"/>
  <c r="AA593" i="15"/>
  <c r="Z593" i="15"/>
  <c r="X593" i="15"/>
  <c r="H593" i="15"/>
  <c r="M637" i="15"/>
  <c r="L637" i="15"/>
  <c r="X810" i="15"/>
  <c r="V810" i="15"/>
  <c r="M929" i="15"/>
  <c r="L929" i="15"/>
  <c r="U1145" i="15"/>
  <c r="K1145" i="15"/>
  <c r="N1145" i="15" s="1"/>
  <c r="J1145" i="15"/>
  <c r="H1145" i="15"/>
  <c r="L1151" i="15"/>
  <c r="M1151" i="15"/>
  <c r="L1167" i="15"/>
  <c r="M1167" i="15"/>
  <c r="K1007" i="15"/>
  <c r="N1007" i="15" s="1"/>
  <c r="J1007" i="15"/>
  <c r="J61" i="15"/>
  <c r="X61" i="15"/>
  <c r="M65" i="15"/>
  <c r="M81" i="15"/>
  <c r="J122" i="15"/>
  <c r="H124" i="15"/>
  <c r="J130" i="15"/>
  <c r="H132" i="15"/>
  <c r="J138" i="15"/>
  <c r="H140" i="15"/>
  <c r="J146" i="15"/>
  <c r="J148" i="15"/>
  <c r="L150" i="15"/>
  <c r="U154" i="15"/>
  <c r="Y154" i="15"/>
  <c r="K154" i="15"/>
  <c r="N154" i="15" s="1"/>
  <c r="J154" i="15"/>
  <c r="H154" i="15"/>
  <c r="K315" i="15"/>
  <c r="K316" i="15" s="1"/>
  <c r="M1015" i="15"/>
  <c r="L1015" i="15"/>
  <c r="L1025" i="15"/>
  <c r="M1025" i="15"/>
  <c r="K623" i="15"/>
  <c r="N623" i="15" s="1"/>
  <c r="J623" i="15"/>
  <c r="H623" i="15"/>
  <c r="L1095" i="15"/>
  <c r="M1095" i="15"/>
  <c r="H110" i="15"/>
  <c r="P492" i="15"/>
  <c r="O492" i="15"/>
  <c r="U627" i="15"/>
  <c r="K627" i="15"/>
  <c r="N627" i="15" s="1"/>
  <c r="H627" i="15"/>
  <c r="V675" i="15"/>
  <c r="Y675" i="15"/>
  <c r="H675" i="15"/>
  <c r="V703" i="15"/>
  <c r="AA703" i="15"/>
  <c r="L931" i="15"/>
  <c r="M931" i="15"/>
  <c r="M987" i="15"/>
  <c r="L987" i="15"/>
  <c r="Y47" i="15"/>
  <c r="W49" i="15"/>
  <c r="Y61" i="15"/>
  <c r="M61" i="15"/>
  <c r="H63" i="15"/>
  <c r="Y75" i="15"/>
  <c r="U77" i="15"/>
  <c r="Y81" i="15"/>
  <c r="K100" i="15"/>
  <c r="V102" i="15"/>
  <c r="AB142" i="15" s="1"/>
  <c r="L106" i="15"/>
  <c r="K108" i="15"/>
  <c r="V110" i="15"/>
  <c r="AB148" i="15" s="1"/>
  <c r="L114" i="15"/>
  <c r="K116" i="15"/>
  <c r="L124" i="15"/>
  <c r="L132" i="15"/>
  <c r="L140" i="15"/>
  <c r="Y148" i="15"/>
  <c r="H152" i="15"/>
  <c r="K538" i="15"/>
  <c r="N538" i="15" s="1"/>
  <c r="J538" i="15"/>
  <c r="H538" i="15"/>
  <c r="M585" i="15"/>
  <c r="L585" i="15"/>
  <c r="L623" i="15"/>
  <c r="M623" i="15"/>
  <c r="M633" i="15"/>
  <c r="L633" i="15"/>
  <c r="L635" i="15"/>
  <c r="M635" i="15"/>
  <c r="L796" i="15"/>
  <c r="M796" i="15"/>
  <c r="M907" i="15"/>
  <c r="L907" i="15"/>
  <c r="K927" i="15"/>
  <c r="N927" i="15" s="1"/>
  <c r="H927" i="15"/>
  <c r="X49" i="15"/>
  <c r="Z65" i="15"/>
  <c r="T61" i="15"/>
  <c r="U63" i="15"/>
  <c r="Z75" i="15"/>
  <c r="V77" i="15"/>
  <c r="AB108" i="15" s="1"/>
  <c r="H81" i="15"/>
  <c r="V98" i="15"/>
  <c r="AB138" i="15" s="1"/>
  <c r="L100" i="15"/>
  <c r="L108" i="15"/>
  <c r="V132" i="15"/>
  <c r="AB170" i="15" s="1"/>
  <c r="V140" i="15"/>
  <c r="AB178" i="15" s="1"/>
  <c r="J152" i="15"/>
  <c r="V579" i="15"/>
  <c r="Z579" i="15"/>
  <c r="Y579" i="15"/>
  <c r="W579" i="15"/>
  <c r="U61" i="15"/>
  <c r="J67" i="15"/>
  <c r="W77" i="15"/>
  <c r="J81" i="15"/>
  <c r="X98" i="15"/>
  <c r="V100" i="15"/>
  <c r="AB140" i="15" s="1"/>
  <c r="X106" i="15"/>
  <c r="V108" i="15"/>
  <c r="X114" i="15"/>
  <c r="W116" i="15"/>
  <c r="Z122" i="15"/>
  <c r="W124" i="15"/>
  <c r="Z130" i="15"/>
  <c r="W132" i="15"/>
  <c r="Z138" i="15"/>
  <c r="W140" i="15"/>
  <c r="K152" i="15"/>
  <c r="K347" i="15"/>
  <c r="K348" i="15" s="1"/>
  <c r="X378" i="15"/>
  <c r="J378" i="15"/>
  <c r="O474" i="15"/>
  <c r="P474" i="15"/>
  <c r="M569" i="15"/>
  <c r="L569" i="15"/>
  <c r="Z675" i="15"/>
  <c r="L1011" i="15"/>
  <c r="M1011" i="15"/>
  <c r="H102" i="15"/>
  <c r="V61" i="15"/>
  <c r="X77" i="15"/>
  <c r="K81" i="15"/>
  <c r="Z98" i="15"/>
  <c r="W100" i="15"/>
  <c r="Z106" i="15"/>
  <c r="W108" i="15"/>
  <c r="Z114" i="15"/>
  <c r="X116" i="15"/>
  <c r="X124" i="15"/>
  <c r="X132" i="15"/>
  <c r="X140" i="15"/>
  <c r="J150" i="15"/>
  <c r="L152" i="15"/>
  <c r="Y415" i="15"/>
  <c r="AA415" i="15"/>
  <c r="Z415" i="15"/>
  <c r="T415" i="15"/>
  <c r="S415" i="15"/>
  <c r="O490" i="15"/>
  <c r="P490" i="15"/>
  <c r="L599" i="15"/>
  <c r="M599" i="15"/>
  <c r="L812" i="15"/>
  <c r="M812" i="15"/>
  <c r="J156" i="15"/>
  <c r="L158" i="15"/>
  <c r="J164" i="15"/>
  <c r="L166" i="15"/>
  <c r="J172" i="15"/>
  <c r="L174" i="15"/>
  <c r="K238" i="15"/>
  <c r="N238" i="15" s="1"/>
  <c r="K258" i="15"/>
  <c r="N258" i="15" s="1"/>
  <c r="L311" i="15"/>
  <c r="L312" i="15" s="1"/>
  <c r="W314" i="15"/>
  <c r="H316" i="15"/>
  <c r="AA318" i="15"/>
  <c r="U320" i="15"/>
  <c r="H322" i="15"/>
  <c r="Z324" i="15"/>
  <c r="K326" i="15"/>
  <c r="H328" i="15"/>
  <c r="W334" i="15"/>
  <c r="W336" i="15"/>
  <c r="W338" i="15"/>
  <c r="W340" i="15"/>
  <c r="W346" i="15"/>
  <c r="J348" i="15"/>
  <c r="M357" i="15"/>
  <c r="M358" i="15" s="1"/>
  <c r="Y362" i="15"/>
  <c r="M377" i="15"/>
  <c r="M378" i="15" s="1"/>
  <c r="X407" i="15"/>
  <c r="V407" i="15"/>
  <c r="W431" i="15"/>
  <c r="K425" i="15"/>
  <c r="K431" i="15"/>
  <c r="X443" i="15"/>
  <c r="K445" i="15"/>
  <c r="K466" i="15"/>
  <c r="N466" i="15" s="1"/>
  <c r="Y468" i="15"/>
  <c r="K470" i="15"/>
  <c r="N470" i="15" s="1"/>
  <c r="K488" i="15"/>
  <c r="N488" i="15" s="1"/>
  <c r="K492" i="15"/>
  <c r="N492" i="15" s="1"/>
  <c r="H498" i="15"/>
  <c r="J500" i="15"/>
  <c r="K502" i="15"/>
  <c r="N502" i="15" s="1"/>
  <c r="H520" i="15"/>
  <c r="J522" i="15"/>
  <c r="Y573" i="15"/>
  <c r="AA587" i="15"/>
  <c r="Z605" i="15"/>
  <c r="AA607" i="15"/>
  <c r="Z609" i="15"/>
  <c r="AA615" i="15"/>
  <c r="X617" i="15"/>
  <c r="J639" i="15"/>
  <c r="K645" i="15"/>
  <c r="N645" i="15" s="1"/>
  <c r="C675" i="15"/>
  <c r="J693" i="15"/>
  <c r="C703" i="15"/>
  <c r="K702" i="15" s="1"/>
  <c r="M719" i="15"/>
  <c r="Q719" i="15" s="1"/>
  <c r="K718" i="15"/>
  <c r="L718" i="15" s="1"/>
  <c r="I725" i="15"/>
  <c r="C725" i="15"/>
  <c r="M725" i="15" s="1"/>
  <c r="Q725" i="15" s="1"/>
  <c r="M727" i="15"/>
  <c r="Q727" i="15" s="1"/>
  <c r="K726" i="15"/>
  <c r="L726" i="15" s="1"/>
  <c r="I745" i="15"/>
  <c r="C745" i="15"/>
  <c r="K744" i="15" s="1"/>
  <c r="K745" i="15" s="1"/>
  <c r="X804" i="15"/>
  <c r="AA804" i="15"/>
  <c r="J804" i="15"/>
  <c r="H804" i="15"/>
  <c r="M1019" i="15"/>
  <c r="L1019" i="15"/>
  <c r="L1053" i="15"/>
  <c r="M1053" i="15"/>
  <c r="K156" i="15"/>
  <c r="Y158" i="15"/>
  <c r="H162" i="15"/>
  <c r="K164" i="15"/>
  <c r="Y166" i="15"/>
  <c r="H170" i="15"/>
  <c r="K172" i="15"/>
  <c r="Y174" i="15"/>
  <c r="H212" i="15"/>
  <c r="W214" i="15"/>
  <c r="H220" i="15"/>
  <c r="H226" i="15"/>
  <c r="H244" i="15"/>
  <c r="H274" i="15"/>
  <c r="W320" i="15"/>
  <c r="J322" i="15"/>
  <c r="L323" i="15"/>
  <c r="L324" i="15" s="1"/>
  <c r="AA324" i="15"/>
  <c r="U326" i="15"/>
  <c r="J328" i="15"/>
  <c r="Z346" i="15"/>
  <c r="Y407" i="15"/>
  <c r="L425" i="15"/>
  <c r="L431" i="15"/>
  <c r="H433" i="15"/>
  <c r="Y443" i="15"/>
  <c r="L445" i="15"/>
  <c r="H447" i="15"/>
  <c r="AA468" i="15"/>
  <c r="X470" i="15"/>
  <c r="J472" i="15"/>
  <c r="W488" i="15"/>
  <c r="X490" i="15"/>
  <c r="J498" i="15"/>
  <c r="Y500" i="15"/>
  <c r="K522" i="15"/>
  <c r="N522" i="15" s="1"/>
  <c r="Z573" i="15"/>
  <c r="AA617" i="15"/>
  <c r="J629" i="15"/>
  <c r="K639" i="15"/>
  <c r="N639" i="15" s="1"/>
  <c r="Y701" i="15"/>
  <c r="C729" i="15"/>
  <c r="K728" i="15" s="1"/>
  <c r="K729" i="15" s="1"/>
  <c r="I729" i="15"/>
  <c r="K790" i="15"/>
  <c r="N790" i="15" s="1"/>
  <c r="H790" i="15"/>
  <c r="Z790" i="15"/>
  <c r="X850" i="15"/>
  <c r="K850" i="15"/>
  <c r="N850" i="15" s="1"/>
  <c r="J850" i="15"/>
  <c r="H850" i="15"/>
  <c r="M903" i="15"/>
  <c r="L903" i="15"/>
  <c r="J915" i="15"/>
  <c r="H915" i="15"/>
  <c r="M927" i="15"/>
  <c r="L927" i="15"/>
  <c r="M1127" i="15"/>
  <c r="L1127" i="15"/>
  <c r="W1149" i="15"/>
  <c r="H1149" i="15"/>
  <c r="L156" i="15"/>
  <c r="J162" i="15"/>
  <c r="L164" i="15"/>
  <c r="J170" i="15"/>
  <c r="L172" i="15"/>
  <c r="K204" i="15"/>
  <c r="N204" i="15" s="1"/>
  <c r="J212" i="15"/>
  <c r="J220" i="15"/>
  <c r="K226" i="15"/>
  <c r="N226" i="15" s="1"/>
  <c r="J244" i="15"/>
  <c r="AA314" i="15"/>
  <c r="U316" i="15"/>
  <c r="H318" i="15"/>
  <c r="W326" i="15"/>
  <c r="U328" i="15"/>
  <c r="H330" i="15"/>
  <c r="Y348" i="15"/>
  <c r="M355" i="15"/>
  <c r="M356" i="15" s="1"/>
  <c r="V425" i="15"/>
  <c r="J433" i="15"/>
  <c r="Z443" i="15"/>
  <c r="V445" i="15"/>
  <c r="Y470" i="15"/>
  <c r="Y488" i="15"/>
  <c r="K698" i="15"/>
  <c r="L698" i="15" s="1"/>
  <c r="M699" i="15"/>
  <c r="Q699" i="15" s="1"/>
  <c r="V808" i="15"/>
  <c r="J808" i="15"/>
  <c r="M838" i="15"/>
  <c r="L838" i="15"/>
  <c r="M889" i="15"/>
  <c r="L889" i="15"/>
  <c r="K1029" i="15"/>
  <c r="N1029" i="15" s="1"/>
  <c r="J1029" i="15"/>
  <c r="M1043" i="15"/>
  <c r="L1043" i="15"/>
  <c r="K1073" i="15"/>
  <c r="N1073" i="15" s="1"/>
  <c r="J1073" i="15"/>
  <c r="H1073" i="15"/>
  <c r="J1143" i="15"/>
  <c r="H1143" i="15"/>
  <c r="Y156" i="15"/>
  <c r="H160" i="15"/>
  <c r="K162" i="15"/>
  <c r="Y164" i="15"/>
  <c r="H168" i="15"/>
  <c r="K170" i="15"/>
  <c r="Y172" i="15"/>
  <c r="V212" i="15"/>
  <c r="W220" i="15"/>
  <c r="J356" i="15"/>
  <c r="J358" i="15"/>
  <c r="M373" i="15"/>
  <c r="M374" i="15" s="1"/>
  <c r="J376" i="15"/>
  <c r="S407" i="15"/>
  <c r="X425" i="15"/>
  <c r="X431" i="15"/>
  <c r="K433" i="15"/>
  <c r="H443" i="15"/>
  <c r="W445" i="15"/>
  <c r="Z470" i="15"/>
  <c r="W472" i="15"/>
  <c r="P514" i="15"/>
  <c r="Q514" i="15" s="1"/>
  <c r="H536" i="15"/>
  <c r="Y635" i="15"/>
  <c r="U629" i="15"/>
  <c r="Y693" i="15"/>
  <c r="I705" i="15"/>
  <c r="L780" i="15"/>
  <c r="M780" i="15"/>
  <c r="K828" i="15"/>
  <c r="N828" i="15" s="1"/>
  <c r="X828" i="15"/>
  <c r="J854" i="15"/>
  <c r="H854" i="15"/>
  <c r="K1005" i="15"/>
  <c r="N1005" i="15" s="1"/>
  <c r="H1005" i="15"/>
  <c r="K1017" i="15"/>
  <c r="N1017" i="15" s="1"/>
  <c r="J1017" i="15"/>
  <c r="H1017" i="15"/>
  <c r="K1101" i="15"/>
  <c r="N1101" i="15" s="1"/>
  <c r="J1101" i="15"/>
  <c r="J160" i="15"/>
  <c r="L162" i="15"/>
  <c r="J168" i="15"/>
  <c r="L170" i="15"/>
  <c r="X220" i="15"/>
  <c r="J232" i="15"/>
  <c r="W310" i="15"/>
  <c r="U312" i="15"/>
  <c r="W322" i="15"/>
  <c r="M351" i="15"/>
  <c r="M352" i="15" s="1"/>
  <c r="L371" i="15"/>
  <c r="L372" i="15" s="1"/>
  <c r="Z431" i="15"/>
  <c r="H506" i="15"/>
  <c r="Z623" i="15"/>
  <c r="H573" i="15"/>
  <c r="Y591" i="15"/>
  <c r="W595" i="15"/>
  <c r="U599" i="15"/>
  <c r="J613" i="15"/>
  <c r="J615" i="15"/>
  <c r="AA693" i="15"/>
  <c r="X788" i="15"/>
  <c r="Y788" i="15"/>
  <c r="J788" i="15"/>
  <c r="H788" i="15"/>
  <c r="M844" i="15"/>
  <c r="L844" i="15"/>
  <c r="M848" i="15"/>
  <c r="L848" i="15"/>
  <c r="M1001" i="15"/>
  <c r="Q1001" i="15" s="1"/>
  <c r="V1021" i="15"/>
  <c r="J1021" i="15"/>
  <c r="M1103" i="15"/>
  <c r="R1103" i="15" s="1"/>
  <c r="L1111" i="15"/>
  <c r="Q1111" i="15" s="1"/>
  <c r="L1141" i="15"/>
  <c r="M1141" i="15"/>
  <c r="M1155" i="15"/>
  <c r="L1155" i="15"/>
  <c r="M1169" i="15"/>
  <c r="L1169" i="15"/>
  <c r="H158" i="15"/>
  <c r="K160" i="15"/>
  <c r="Y162" i="15"/>
  <c r="J224" i="15"/>
  <c r="H228" i="15"/>
  <c r="H242" i="15"/>
  <c r="H276" i="15"/>
  <c r="U330" i="15"/>
  <c r="H334" i="15"/>
  <c r="H336" i="15"/>
  <c r="M347" i="15"/>
  <c r="M348" i="15" s="1"/>
  <c r="AA431" i="15"/>
  <c r="Y445" i="15"/>
  <c r="J506" i="15"/>
  <c r="P526" i="15"/>
  <c r="Q526" i="15" s="1"/>
  <c r="O532" i="15"/>
  <c r="R532" i="15" s="1"/>
  <c r="J573" i="15"/>
  <c r="H587" i="15"/>
  <c r="AA591" i="15"/>
  <c r="Y595" i="15"/>
  <c r="W599" i="15"/>
  <c r="K603" i="15"/>
  <c r="N603" i="15" s="1"/>
  <c r="H605" i="15"/>
  <c r="H607" i="15"/>
  <c r="Y677" i="15"/>
  <c r="U689" i="15"/>
  <c r="H691" i="15"/>
  <c r="AA695" i="15"/>
  <c r="AA790" i="15"/>
  <c r="AA806" i="15"/>
  <c r="X806" i="15"/>
  <c r="K806" i="15"/>
  <c r="N806" i="15" s="1"/>
  <c r="H806" i="15"/>
  <c r="M816" i="15"/>
  <c r="L816" i="15"/>
  <c r="K901" i="15"/>
  <c r="N901" i="15" s="1"/>
  <c r="J901" i="15"/>
  <c r="H901" i="15"/>
  <c r="J993" i="15"/>
  <c r="H993" i="15"/>
  <c r="L1017" i="15"/>
  <c r="M1017" i="15"/>
  <c r="K1055" i="15"/>
  <c r="N1055" i="15" s="1"/>
  <c r="J1055" i="15"/>
  <c r="J158" i="15"/>
  <c r="L160" i="15"/>
  <c r="J166" i="15"/>
  <c r="L168" i="15"/>
  <c r="J174" i="15"/>
  <c r="U224" i="15"/>
  <c r="J228" i="15"/>
  <c r="K242" i="15"/>
  <c r="N242" i="15" s="1"/>
  <c r="J276" i="15"/>
  <c r="J334" i="15"/>
  <c r="J336" i="15"/>
  <c r="L351" i="15"/>
  <c r="L352" i="15" s="1"/>
  <c r="J407" i="15"/>
  <c r="H425" i="15"/>
  <c r="H427" i="15"/>
  <c r="X433" i="15"/>
  <c r="K506" i="15"/>
  <c r="N506" i="15" s="1"/>
  <c r="O544" i="15"/>
  <c r="Q544" i="15" s="1"/>
  <c r="K573" i="15"/>
  <c r="N573" i="15" s="1"/>
  <c r="K587" i="15"/>
  <c r="N587" i="15" s="1"/>
  <c r="L601" i="15"/>
  <c r="Q601" i="15" s="1"/>
  <c r="J605" i="15"/>
  <c r="J607" i="15"/>
  <c r="H609" i="15"/>
  <c r="AA677" i="15"/>
  <c r="AA685" i="15"/>
  <c r="Z691" i="15"/>
  <c r="J701" i="15"/>
  <c r="K704" i="15"/>
  <c r="K705" i="15" s="1"/>
  <c r="X719" i="15"/>
  <c r="H719" i="15"/>
  <c r="U745" i="15"/>
  <c r="Z745" i="15"/>
  <c r="L814" i="15"/>
  <c r="M814" i="15"/>
  <c r="X852" i="15"/>
  <c r="K852" i="15"/>
  <c r="N852" i="15" s="1"/>
  <c r="J852" i="15"/>
  <c r="H852" i="15"/>
  <c r="L883" i="15"/>
  <c r="M883" i="15"/>
  <c r="J1003" i="15"/>
  <c r="H1003" i="15"/>
  <c r="M1057" i="15"/>
  <c r="R1057" i="15" s="1"/>
  <c r="W1093" i="15"/>
  <c r="J1093" i="15"/>
  <c r="M1109" i="15"/>
  <c r="Q1109" i="15" s="1"/>
  <c r="L1119" i="15"/>
  <c r="M1119" i="15"/>
  <c r="L1139" i="15"/>
  <c r="Q1139" i="15" s="1"/>
  <c r="Z822" i="15"/>
  <c r="AA846" i="15"/>
  <c r="K947" i="15"/>
  <c r="N947" i="15" s="1"/>
  <c r="U1103" i="15"/>
  <c r="V1055" i="15"/>
  <c r="W1125" i="15"/>
  <c r="J715" i="15"/>
  <c r="L739" i="15"/>
  <c r="C749" i="15"/>
  <c r="M749" i="15" s="1"/>
  <c r="Q749" i="15" s="1"/>
  <c r="U784" i="15"/>
  <c r="L794" i="15"/>
  <c r="Q794" i="15" s="1"/>
  <c r="U802" i="15"/>
  <c r="U818" i="15"/>
  <c r="H820" i="15"/>
  <c r="H822" i="15"/>
  <c r="L943" i="15"/>
  <c r="Q943" i="15" s="1"/>
  <c r="L949" i="15"/>
  <c r="Q949" i="15" s="1"/>
  <c r="J999" i="15"/>
  <c r="K1025" i="15"/>
  <c r="N1025" i="15" s="1"/>
  <c r="H1061" i="15"/>
  <c r="H1147" i="15"/>
  <c r="K1157" i="15"/>
  <c r="N1157" i="15" s="1"/>
  <c r="H1159" i="15"/>
  <c r="H1161" i="15"/>
  <c r="H1163" i="15"/>
  <c r="H1165" i="15"/>
  <c r="C733" i="15"/>
  <c r="M733" i="15" s="1"/>
  <c r="Q733" i="15" s="1"/>
  <c r="J747" i="15"/>
  <c r="H786" i="15"/>
  <c r="U796" i="15"/>
  <c r="J820" i="15"/>
  <c r="J822" i="15"/>
  <c r="H846" i="15"/>
  <c r="H1001" i="15"/>
  <c r="H1019" i="15"/>
  <c r="H1053" i="15"/>
  <c r="H1057" i="15"/>
  <c r="L1071" i="15"/>
  <c r="Q1071" i="15" s="1"/>
  <c r="H1103" i="15"/>
  <c r="J1147" i="15"/>
  <c r="J1161" i="15"/>
  <c r="J1163" i="15"/>
  <c r="J786" i="15"/>
  <c r="L798" i="15"/>
  <c r="Q798" i="15" s="1"/>
  <c r="U812" i="15"/>
  <c r="AA820" i="15"/>
  <c r="V997" i="15"/>
  <c r="L995" i="15"/>
  <c r="Q995" i="15" s="1"/>
  <c r="L997" i="15"/>
  <c r="Q997" i="15" s="1"/>
  <c r="J1001" i="15"/>
  <c r="M1021" i="15"/>
  <c r="Q1021" i="15" s="1"/>
  <c r="J1057" i="15"/>
  <c r="L1059" i="15"/>
  <c r="Q1059" i="15" s="1"/>
  <c r="L1067" i="15"/>
  <c r="Q1067" i="15" s="1"/>
  <c r="L1069" i="15"/>
  <c r="Q1069" i="15" s="1"/>
  <c r="H1091" i="15"/>
  <c r="J1103" i="15"/>
  <c r="H1129" i="15"/>
  <c r="H1131" i="15"/>
  <c r="K1161" i="15"/>
  <c r="N1161" i="15" s="1"/>
  <c r="M891" i="15"/>
  <c r="R891" i="15" s="1"/>
  <c r="M895" i="15"/>
  <c r="Q895" i="15" s="1"/>
  <c r="M925" i="15"/>
  <c r="Q925" i="15" s="1"/>
  <c r="K1001" i="15"/>
  <c r="N1001" i="15" s="1"/>
  <c r="L1003" i="15"/>
  <c r="Q1003" i="15" s="1"/>
  <c r="H1037" i="15"/>
  <c r="L1123" i="15"/>
  <c r="Q1123" i="15" s="1"/>
  <c r="J1131" i="15"/>
  <c r="L1135" i="15"/>
  <c r="Q1135" i="15" s="1"/>
  <c r="J1139" i="15"/>
  <c r="AB120" i="15"/>
  <c r="Z218" i="15"/>
  <c r="W218" i="15"/>
  <c r="H218" i="15"/>
  <c r="V218" i="15"/>
  <c r="S63" i="15"/>
  <c r="AA63" i="15"/>
  <c r="X65" i="15"/>
  <c r="Z79" i="15"/>
  <c r="AB102" i="15"/>
  <c r="Z104" i="15"/>
  <c r="Z112" i="15"/>
  <c r="V116" i="15"/>
  <c r="AB154" i="15" s="1"/>
  <c r="AB118" i="15"/>
  <c r="Z120" i="15"/>
  <c r="AB126" i="15"/>
  <c r="Z128" i="15"/>
  <c r="Z136" i="15"/>
  <c r="Z144" i="15"/>
  <c r="X146" i="15"/>
  <c r="V148" i="15"/>
  <c r="AB186" i="15" s="1"/>
  <c r="V150" i="15"/>
  <c r="V152" i="15"/>
  <c r="V154" i="15"/>
  <c r="V158" i="15"/>
  <c r="V160" i="15"/>
  <c r="V162" i="15"/>
  <c r="V164" i="15"/>
  <c r="V168" i="15"/>
  <c r="V170" i="15"/>
  <c r="V172" i="15"/>
  <c r="V174" i="15"/>
  <c r="Y204" i="15"/>
  <c r="AA206" i="15"/>
  <c r="X208" i="15"/>
  <c r="S212" i="15"/>
  <c r="AA216" i="15"/>
  <c r="AB216" i="15"/>
  <c r="Y218" i="15"/>
  <c r="AA232" i="15"/>
  <c r="Y236" i="15"/>
  <c r="AA238" i="15"/>
  <c r="AA244" i="15"/>
  <c r="Y252" i="15"/>
  <c r="AA254" i="15"/>
  <c r="AA260" i="15"/>
  <c r="Y268" i="15"/>
  <c r="AA270" i="15"/>
  <c r="Z282" i="15"/>
  <c r="Y282" i="15"/>
  <c r="K282" i="15"/>
  <c r="N282" i="15" s="1"/>
  <c r="X282" i="15"/>
  <c r="J282" i="15"/>
  <c r="W282" i="15"/>
  <c r="H282" i="15"/>
  <c r="V282" i="15"/>
  <c r="L309" i="15"/>
  <c r="L310" i="15" s="1"/>
  <c r="L327" i="15"/>
  <c r="L328" i="15" s="1"/>
  <c r="M331" i="15"/>
  <c r="M332" i="15" s="1"/>
  <c r="K331" i="15"/>
  <c r="M365" i="15"/>
  <c r="M366" i="15" s="1"/>
  <c r="K365" i="15"/>
  <c r="K366" i="15" s="1"/>
  <c r="S420" i="15"/>
  <c r="S436" i="15"/>
  <c r="S449" i="15" s="1"/>
  <c r="S305" i="15"/>
  <c r="T420" i="15"/>
  <c r="T427" i="15" s="1"/>
  <c r="T436" i="15"/>
  <c r="T441" i="15" s="1"/>
  <c r="Z45" i="15"/>
  <c r="T51" i="15"/>
  <c r="T63" i="15"/>
  <c r="AB63" i="15"/>
  <c r="Y65" i="15"/>
  <c r="S79" i="15"/>
  <c r="AA79" i="15"/>
  <c r="Y98" i="15"/>
  <c r="U102" i="15"/>
  <c r="AA104" i="15"/>
  <c r="Y106" i="15"/>
  <c r="U110" i="15"/>
  <c r="AA112" i="15"/>
  <c r="Y114" i="15"/>
  <c r="U118" i="15"/>
  <c r="AA120" i="15"/>
  <c r="Y122" i="15"/>
  <c r="U126" i="15"/>
  <c r="AA128" i="15"/>
  <c r="Y130" i="15"/>
  <c r="U134" i="15"/>
  <c r="AA136" i="15"/>
  <c r="Y138" i="15"/>
  <c r="U142" i="15"/>
  <c r="AA144" i="15"/>
  <c r="Y146" i="15"/>
  <c r="X148" i="15"/>
  <c r="X150" i="15"/>
  <c r="X152" i="15"/>
  <c r="X154" i="15"/>
  <c r="X156" i="15"/>
  <c r="X158" i="15"/>
  <c r="X160" i="15"/>
  <c r="X162" i="15"/>
  <c r="X164" i="15"/>
  <c r="X166" i="15"/>
  <c r="X168" i="15"/>
  <c r="X170" i="15"/>
  <c r="X172" i="15"/>
  <c r="X174" i="15"/>
  <c r="Z280" i="15"/>
  <c r="Z264" i="15"/>
  <c r="Z248" i="15"/>
  <c r="Z232" i="15"/>
  <c r="Z276" i="15"/>
  <c r="Z228" i="15"/>
  <c r="Z204" i="15"/>
  <c r="Y210" i="15"/>
  <c r="AA218" i="15"/>
  <c r="S222" i="15"/>
  <c r="AA230" i="15"/>
  <c r="S230" i="15"/>
  <c r="Y230" i="15"/>
  <c r="K230" i="15"/>
  <c r="N230" i="15" s="1"/>
  <c r="X230" i="15"/>
  <c r="J230" i="15"/>
  <c r="V230" i="15"/>
  <c r="Z234" i="15"/>
  <c r="Y234" i="15"/>
  <c r="K234" i="15"/>
  <c r="N234" i="15" s="1"/>
  <c r="W234" i="15"/>
  <c r="H234" i="15"/>
  <c r="V234" i="15"/>
  <c r="AA248" i="15"/>
  <c r="Z250" i="15"/>
  <c r="Y250" i="15"/>
  <c r="K250" i="15"/>
  <c r="N250" i="15" s="1"/>
  <c r="W250" i="15"/>
  <c r="H250" i="15"/>
  <c r="V250" i="15"/>
  <c r="AA264" i="15"/>
  <c r="Z266" i="15"/>
  <c r="Y266" i="15"/>
  <c r="K266" i="15"/>
  <c r="N266" i="15" s="1"/>
  <c r="W266" i="15"/>
  <c r="H266" i="15"/>
  <c r="V266" i="15"/>
  <c r="V274" i="15"/>
  <c r="AA280" i="15"/>
  <c r="S282" i="15"/>
  <c r="V318" i="15"/>
  <c r="V316" i="15"/>
  <c r="M339" i="15"/>
  <c r="M340" i="15" s="1"/>
  <c r="K339" i="15"/>
  <c r="K340" i="15" s="1"/>
  <c r="K358" i="15"/>
  <c r="L357" i="15"/>
  <c r="L358" i="15" s="1"/>
  <c r="U364" i="15"/>
  <c r="H364" i="15"/>
  <c r="AA364" i="15"/>
  <c r="Z364" i="15"/>
  <c r="W364" i="15"/>
  <c r="M363" i="15"/>
  <c r="M364" i="15" s="1"/>
  <c r="V364" i="15"/>
  <c r="Y364" i="15"/>
  <c r="P476" i="15"/>
  <c r="O476" i="15"/>
  <c r="P518" i="15"/>
  <c r="O518" i="15"/>
  <c r="W208" i="15"/>
  <c r="H208" i="15"/>
  <c r="AA208" i="15"/>
  <c r="S208" i="15"/>
  <c r="Y208" i="15"/>
  <c r="K208" i="15"/>
  <c r="N208" i="15" s="1"/>
  <c r="V348" i="15"/>
  <c r="V344" i="15"/>
  <c r="V342" i="15"/>
  <c r="V340" i="15"/>
  <c r="U514" i="15"/>
  <c r="K514" i="15"/>
  <c r="N514" i="15" s="1"/>
  <c r="J514" i="15"/>
  <c r="AA514" i="15"/>
  <c r="H514" i="15"/>
  <c r="Z514" i="15"/>
  <c r="W514" i="15"/>
  <c r="X514" i="15"/>
  <c r="V514" i="15"/>
  <c r="Y514" i="15"/>
  <c r="S75" i="15"/>
  <c r="T93" i="15"/>
  <c r="AB93" i="15"/>
  <c r="AA98" i="15"/>
  <c r="Y100" i="15"/>
  <c r="J102" i="15"/>
  <c r="W102" i="15"/>
  <c r="U104" i="15"/>
  <c r="AA106" i="15"/>
  <c r="Y108" i="15"/>
  <c r="J110" i="15"/>
  <c r="W110" i="15"/>
  <c r="U112" i="15"/>
  <c r="AA114" i="15"/>
  <c r="Y116" i="15"/>
  <c r="J118" i="15"/>
  <c r="W118" i="15"/>
  <c r="U120" i="15"/>
  <c r="AA122" i="15"/>
  <c r="Y124" i="15"/>
  <c r="J126" i="15"/>
  <c r="W126" i="15"/>
  <c r="U128" i="15"/>
  <c r="AA130" i="15"/>
  <c r="Y132" i="15"/>
  <c r="J134" i="15"/>
  <c r="W134" i="15"/>
  <c r="U136" i="15"/>
  <c r="AA138" i="15"/>
  <c r="J142" i="15"/>
  <c r="W142" i="15"/>
  <c r="U144" i="15"/>
  <c r="AA146" i="15"/>
  <c r="Z148" i="15"/>
  <c r="Z150" i="15"/>
  <c r="Z152" i="15"/>
  <c r="Z154" i="15"/>
  <c r="Z156" i="15"/>
  <c r="Z158" i="15"/>
  <c r="Z160" i="15"/>
  <c r="Z162" i="15"/>
  <c r="Z164" i="15"/>
  <c r="Z166" i="15"/>
  <c r="Z168" i="15"/>
  <c r="Z170" i="15"/>
  <c r="Z172" i="15"/>
  <c r="Z174" i="15"/>
  <c r="T199" i="15"/>
  <c r="AB199" i="15"/>
  <c r="AB204" i="15"/>
  <c r="S206" i="15"/>
  <c r="V210" i="15"/>
  <c r="AA210" i="15"/>
  <c r="S210" i="15"/>
  <c r="Z210" i="15"/>
  <c r="X210" i="15"/>
  <c r="J210" i="15"/>
  <c r="J218" i="15"/>
  <c r="Y220" i="15"/>
  <c r="AB220" i="15"/>
  <c r="S234" i="15"/>
  <c r="J240" i="15"/>
  <c r="H246" i="15"/>
  <c r="S250" i="15"/>
  <c r="S266" i="15"/>
  <c r="J272" i="15"/>
  <c r="AA282" i="15"/>
  <c r="M333" i="15"/>
  <c r="M334" i="15" s="1"/>
  <c r="K333" i="15"/>
  <c r="M341" i="15"/>
  <c r="M342" i="15" s="1"/>
  <c r="K341" i="15"/>
  <c r="M349" i="15"/>
  <c r="M350" i="15" s="1"/>
  <c r="K349" i="15"/>
  <c r="K350" i="15" s="1"/>
  <c r="U360" i="15"/>
  <c r="H360" i="15"/>
  <c r="AA360" i="15"/>
  <c r="Z360" i="15"/>
  <c r="J360" i="15"/>
  <c r="Y360" i="15"/>
  <c r="W360" i="15"/>
  <c r="M359" i="15"/>
  <c r="M360" i="15" s="1"/>
  <c r="K361" i="15"/>
  <c r="K362" i="15" s="1"/>
  <c r="J364" i="15"/>
  <c r="M641" i="15"/>
  <c r="L641" i="15"/>
  <c r="AA268" i="15"/>
  <c r="AA252" i="15"/>
  <c r="W256" i="15"/>
  <c r="H256" i="15"/>
  <c r="V256" i="15"/>
  <c r="AA256" i="15"/>
  <c r="S256" i="15"/>
  <c r="Y256" i="15"/>
  <c r="K256" i="15"/>
  <c r="N256" i="15" s="1"/>
  <c r="X382" i="15"/>
  <c r="M381" i="15"/>
  <c r="M382" i="15" s="1"/>
  <c r="W382" i="15"/>
  <c r="V382" i="15"/>
  <c r="J382" i="15"/>
  <c r="U382" i="15"/>
  <c r="H382" i="15"/>
  <c r="Z382" i="15"/>
  <c r="AA382" i="15"/>
  <c r="Y382" i="15"/>
  <c r="S65" i="15"/>
  <c r="U79" i="15"/>
  <c r="R5" i="15"/>
  <c r="U45" i="15"/>
  <c r="S47" i="15"/>
  <c r="AA47" i="15"/>
  <c r="L49" i="15"/>
  <c r="Y49" i="15"/>
  <c r="J51" i="15"/>
  <c r="W51" i="15"/>
  <c r="Z61" i="15"/>
  <c r="K63" i="15"/>
  <c r="W63" i="15"/>
  <c r="T65" i="15"/>
  <c r="M67" i="15"/>
  <c r="Y67" i="15"/>
  <c r="T75" i="15"/>
  <c r="AB75" i="15"/>
  <c r="M77" i="15"/>
  <c r="Y77" i="15"/>
  <c r="J79" i="15"/>
  <c r="V79" i="15"/>
  <c r="AB110" i="15" s="1"/>
  <c r="S81" i="15"/>
  <c r="AA81" i="15"/>
  <c r="AB98" i="15"/>
  <c r="Z100" i="15"/>
  <c r="K102" i="15"/>
  <c r="X102" i="15"/>
  <c r="H104" i="15"/>
  <c r="V104" i="15"/>
  <c r="Z108" i="15"/>
  <c r="K110" i="15"/>
  <c r="X110" i="15"/>
  <c r="H112" i="15"/>
  <c r="V112" i="15"/>
  <c r="AB150" i="15" s="1"/>
  <c r="AB114" i="15"/>
  <c r="Z116" i="15"/>
  <c r="K118" i="15"/>
  <c r="X118" i="15"/>
  <c r="H120" i="15"/>
  <c r="V120" i="15"/>
  <c r="AB158" i="15" s="1"/>
  <c r="AB122" i="15"/>
  <c r="Z124" i="15"/>
  <c r="K126" i="15"/>
  <c r="X126" i="15"/>
  <c r="H128" i="15"/>
  <c r="V128" i="15"/>
  <c r="AB166" i="15" s="1"/>
  <c r="Z132" i="15"/>
  <c r="K134" i="15"/>
  <c r="X134" i="15"/>
  <c r="H136" i="15"/>
  <c r="V136" i="15"/>
  <c r="AB174" i="15" s="1"/>
  <c r="Z140" i="15"/>
  <c r="K142" i="15"/>
  <c r="X142" i="15"/>
  <c r="H144" i="15"/>
  <c r="V144" i="15"/>
  <c r="AB182" i="15" s="1"/>
  <c r="AA148" i="15"/>
  <c r="AA150" i="15"/>
  <c r="AA152" i="15"/>
  <c r="AA154" i="15"/>
  <c r="AA156" i="15"/>
  <c r="AA158" i="15"/>
  <c r="AA160" i="15"/>
  <c r="AA162" i="15"/>
  <c r="AA164" i="15"/>
  <c r="AA166" i="15"/>
  <c r="AA168" i="15"/>
  <c r="AA170" i="15"/>
  <c r="AA172" i="15"/>
  <c r="AA174" i="15"/>
  <c r="AA176" i="15"/>
  <c r="AB208" i="15"/>
  <c r="AB206" i="15"/>
  <c r="U204" i="15"/>
  <c r="U206" i="15"/>
  <c r="J208" i="15"/>
  <c r="H210" i="15"/>
  <c r="U212" i="15"/>
  <c r="AA212" i="15"/>
  <c r="K218" i="15"/>
  <c r="N218" i="15" s="1"/>
  <c r="Y222" i="15"/>
  <c r="V224" i="15"/>
  <c r="W226" i="15"/>
  <c r="S228" i="15"/>
  <c r="U230" i="15"/>
  <c r="U234" i="15"/>
  <c r="U250" i="15"/>
  <c r="U266" i="15"/>
  <c r="L353" i="15"/>
  <c r="L354" i="15" s="1"/>
  <c r="X364" i="15"/>
  <c r="K381" i="15"/>
  <c r="K382" i="15" s="1"/>
  <c r="X386" i="15"/>
  <c r="M385" i="15"/>
  <c r="M386" i="15" s="1"/>
  <c r="W386" i="15"/>
  <c r="V386" i="15"/>
  <c r="J386" i="15"/>
  <c r="U386" i="15"/>
  <c r="H386" i="15"/>
  <c r="Z386" i="15"/>
  <c r="Y386" i="15"/>
  <c r="P484" i="15"/>
  <c r="O484" i="15"/>
  <c r="AA204" i="15"/>
  <c r="S214" i="15"/>
  <c r="AA262" i="15"/>
  <c r="S262" i="15"/>
  <c r="Y262" i="15"/>
  <c r="K262" i="15"/>
  <c r="N262" i="15" s="1"/>
  <c r="X262" i="15"/>
  <c r="J262" i="15"/>
  <c r="V262" i="15"/>
  <c r="AA278" i="15"/>
  <c r="S278" i="15"/>
  <c r="Y278" i="15"/>
  <c r="K278" i="15"/>
  <c r="N278" i="15" s="1"/>
  <c r="X278" i="15"/>
  <c r="J278" i="15"/>
  <c r="V278" i="15"/>
  <c r="AB45" i="15"/>
  <c r="H51" i="15"/>
  <c r="H79" i="15"/>
  <c r="H44" i="15"/>
  <c r="V45" i="15"/>
  <c r="Z49" i="15"/>
  <c r="K51" i="15"/>
  <c r="X51" i="15"/>
  <c r="S61" i="15"/>
  <c r="L63" i="15"/>
  <c r="X63" i="15"/>
  <c r="H65" i="15"/>
  <c r="U65" i="15"/>
  <c r="Z67" i="15"/>
  <c r="H75" i="15"/>
  <c r="U75" i="15"/>
  <c r="Z77" i="15"/>
  <c r="K79" i="15"/>
  <c r="W79" i="15"/>
  <c r="AA100" i="15"/>
  <c r="L102" i="15"/>
  <c r="Y102" i="15"/>
  <c r="J104" i="15"/>
  <c r="W104" i="15"/>
  <c r="AA108" i="15"/>
  <c r="L110" i="15"/>
  <c r="Y110" i="15"/>
  <c r="J112" i="15"/>
  <c r="W112" i="15"/>
  <c r="AA116" i="15"/>
  <c r="L118" i="15"/>
  <c r="Y118" i="15"/>
  <c r="J120" i="15"/>
  <c r="W120" i="15"/>
  <c r="AA124" i="15"/>
  <c r="L126" i="15"/>
  <c r="Y126" i="15"/>
  <c r="J128" i="15"/>
  <c r="W128" i="15"/>
  <c r="AA132" i="15"/>
  <c r="L134" i="15"/>
  <c r="Y134" i="15"/>
  <c r="J136" i="15"/>
  <c r="W136" i="15"/>
  <c r="AA140" i="15"/>
  <c r="L142" i="15"/>
  <c r="Y142" i="15"/>
  <c r="J144" i="15"/>
  <c r="W144" i="15"/>
  <c r="U146" i="15"/>
  <c r="AB278" i="15"/>
  <c r="AB262" i="15"/>
  <c r="AB246" i="15"/>
  <c r="AB230" i="15"/>
  <c r="AB214" i="15"/>
  <c r="AB276" i="15"/>
  <c r="AB260" i="15"/>
  <c r="AB244" i="15"/>
  <c r="AB228" i="15"/>
  <c r="AB272" i="15"/>
  <c r="AB256" i="15"/>
  <c r="AB240" i="15"/>
  <c r="AB224" i="15"/>
  <c r="AB270" i="15"/>
  <c r="AB254" i="15"/>
  <c r="AB238" i="15"/>
  <c r="AB222" i="15"/>
  <c r="AB282" i="15"/>
  <c r="AB266" i="15"/>
  <c r="AB250" i="15"/>
  <c r="AB234" i="15"/>
  <c r="AB218" i="15"/>
  <c r="V204" i="15"/>
  <c r="X206" i="15"/>
  <c r="Z206" i="15"/>
  <c r="V206" i="15"/>
  <c r="K210" i="15"/>
  <c r="N210" i="15" s="1"/>
  <c r="AB212" i="15"/>
  <c r="Z214" i="15"/>
  <c r="V216" i="15"/>
  <c r="S218" i="15"/>
  <c r="X222" i="15"/>
  <c r="AA222" i="15"/>
  <c r="X224" i="15"/>
  <c r="Y226" i="15"/>
  <c r="V228" i="15"/>
  <c r="W230" i="15"/>
  <c r="X234" i="15"/>
  <c r="W236" i="15"/>
  <c r="S238" i="15"/>
  <c r="W242" i="15"/>
  <c r="S244" i="15"/>
  <c r="U246" i="15"/>
  <c r="V248" i="15"/>
  <c r="X250" i="15"/>
  <c r="W252" i="15"/>
  <c r="S254" i="15"/>
  <c r="U256" i="15"/>
  <c r="W258" i="15"/>
  <c r="S260" i="15"/>
  <c r="U262" i="15"/>
  <c r="V264" i="15"/>
  <c r="X266" i="15"/>
  <c r="W268" i="15"/>
  <c r="S270" i="15"/>
  <c r="U272" i="15"/>
  <c r="U278" i="15"/>
  <c r="V280" i="15"/>
  <c r="L313" i="15"/>
  <c r="L314" i="15" s="1"/>
  <c r="L317" i="15"/>
  <c r="L318" i="15" s="1"/>
  <c r="L321" i="15"/>
  <c r="L322" i="15" s="1"/>
  <c r="M335" i="15"/>
  <c r="M336" i="15" s="1"/>
  <c r="K335" i="15"/>
  <c r="M343" i="15"/>
  <c r="M344" i="15" s="1"/>
  <c r="K343" i="15"/>
  <c r="K346" i="15"/>
  <c r="L345" i="15"/>
  <c r="L346" i="15" s="1"/>
  <c r="V360" i="15"/>
  <c r="S268" i="15"/>
  <c r="S252" i="15"/>
  <c r="S220" i="15"/>
  <c r="AB210" i="15"/>
  <c r="V222" i="15"/>
  <c r="W240" i="15"/>
  <c r="H240" i="15"/>
  <c r="V240" i="15"/>
  <c r="AA240" i="15"/>
  <c r="S240" i="15"/>
  <c r="Y240" i="15"/>
  <c r="K240" i="15"/>
  <c r="N240" i="15" s="1"/>
  <c r="V51" i="15"/>
  <c r="J45" i="15"/>
  <c r="W45" i="15"/>
  <c r="S49" i="15"/>
  <c r="AA49" i="15"/>
  <c r="L51" i="15"/>
  <c r="Y51" i="15"/>
  <c r="M63" i="15"/>
  <c r="Y63" i="15"/>
  <c r="J65" i="15"/>
  <c r="V65" i="15"/>
  <c r="S67" i="15"/>
  <c r="AA67" i="15"/>
  <c r="J75" i="15"/>
  <c r="V75" i="15"/>
  <c r="S77" i="15"/>
  <c r="AA77" i="15"/>
  <c r="L79" i="15"/>
  <c r="X79" i="15"/>
  <c r="AB100" i="15"/>
  <c r="Z102" i="15"/>
  <c r="K104" i="15"/>
  <c r="X104" i="15"/>
  <c r="V106" i="15"/>
  <c r="AB146" i="15" s="1"/>
  <c r="Z110" i="15"/>
  <c r="K112" i="15"/>
  <c r="X112" i="15"/>
  <c r="AB116" i="15"/>
  <c r="Z118" i="15"/>
  <c r="K120" i="15"/>
  <c r="X120" i="15"/>
  <c r="AB124" i="15"/>
  <c r="Z126" i="15"/>
  <c r="K128" i="15"/>
  <c r="X128" i="15"/>
  <c r="Z134" i="15"/>
  <c r="K136" i="15"/>
  <c r="X136" i="15"/>
  <c r="V138" i="15"/>
  <c r="AB176" i="15" s="1"/>
  <c r="Z142" i="15"/>
  <c r="K144" i="15"/>
  <c r="X144" i="15"/>
  <c r="W270" i="15"/>
  <c r="W254" i="15"/>
  <c r="W238" i="15"/>
  <c r="W276" i="15"/>
  <c r="W260" i="15"/>
  <c r="W244" i="15"/>
  <c r="W228" i="15"/>
  <c r="H204" i="15"/>
  <c r="W204" i="15"/>
  <c r="W206" i="15"/>
  <c r="U208" i="15"/>
  <c r="Y216" i="15"/>
  <c r="U218" i="15"/>
  <c r="AB226" i="15"/>
  <c r="Z230" i="15"/>
  <c r="Y232" i="15"/>
  <c r="AA234" i="15"/>
  <c r="Z236" i="15"/>
  <c r="V238" i="15"/>
  <c r="X240" i="15"/>
  <c r="Y242" i="15"/>
  <c r="V244" i="15"/>
  <c r="Y248" i="15"/>
  <c r="AA250" i="15"/>
  <c r="Z252" i="15"/>
  <c r="V254" i="15"/>
  <c r="X256" i="15"/>
  <c r="Y258" i="15"/>
  <c r="W262" i="15"/>
  <c r="Y264" i="15"/>
  <c r="AA266" i="15"/>
  <c r="Z268" i="15"/>
  <c r="V270" i="15"/>
  <c r="Y274" i="15"/>
  <c r="W278" i="15"/>
  <c r="AB280" i="15"/>
  <c r="X360" i="15"/>
  <c r="U443" i="15"/>
  <c r="AB436" i="15"/>
  <c r="AB441" i="15"/>
  <c r="L579" i="15"/>
  <c r="M579" i="15"/>
  <c r="S204" i="15"/>
  <c r="AA246" i="15"/>
  <c r="S246" i="15"/>
  <c r="Y246" i="15"/>
  <c r="K246" i="15"/>
  <c r="N246" i="15" s="1"/>
  <c r="X246" i="15"/>
  <c r="J246" i="15"/>
  <c r="V246" i="15"/>
  <c r="W272" i="15"/>
  <c r="H272" i="15"/>
  <c r="V272" i="15"/>
  <c r="AA272" i="15"/>
  <c r="S272" i="15"/>
  <c r="Y272" i="15"/>
  <c r="K272" i="15"/>
  <c r="N272" i="15" s="1"/>
  <c r="M5" i="15"/>
  <c r="T45" i="15"/>
  <c r="J63" i="15"/>
  <c r="V63" i="15"/>
  <c r="AA65" i="15"/>
  <c r="AA75" i="15"/>
  <c r="K45" i="15"/>
  <c r="K65" i="15"/>
  <c r="M79" i="15"/>
  <c r="W98" i="15"/>
  <c r="L104" i="15"/>
  <c r="W106" i="15"/>
  <c r="L112" i="15"/>
  <c r="W114" i="15"/>
  <c r="L120" i="15"/>
  <c r="W122" i="15"/>
  <c r="L128" i="15"/>
  <c r="W130" i="15"/>
  <c r="L136" i="15"/>
  <c r="L144" i="15"/>
  <c r="X268" i="15"/>
  <c r="X252" i="15"/>
  <c r="X236" i="15"/>
  <c r="J204" i="15"/>
  <c r="Y206" i="15"/>
  <c r="V208" i="15"/>
  <c r="U210" i="15"/>
  <c r="Y214" i="15"/>
  <c r="K214" i="15"/>
  <c r="N214" i="15" s="1"/>
  <c r="X214" i="15"/>
  <c r="J214" i="15"/>
  <c r="V214" i="15"/>
  <c r="Z216" i="15"/>
  <c r="X218" i="15"/>
  <c r="W224" i="15"/>
  <c r="H224" i="15"/>
  <c r="AA224" i="15"/>
  <c r="S224" i="15"/>
  <c r="Y224" i="15"/>
  <c r="K224" i="15"/>
  <c r="N224" i="15" s="1"/>
  <c r="AA228" i="15"/>
  <c r="AB232" i="15"/>
  <c r="AB236" i="15"/>
  <c r="Y238" i="15"/>
  <c r="Z240" i="15"/>
  <c r="AB242" i="15"/>
  <c r="X244" i="15"/>
  <c r="Z246" i="15"/>
  <c r="AB248" i="15"/>
  <c r="AB252" i="15"/>
  <c r="Y254" i="15"/>
  <c r="Z256" i="15"/>
  <c r="AB258" i="15"/>
  <c r="X260" i="15"/>
  <c r="Z262" i="15"/>
  <c r="AB264" i="15"/>
  <c r="AB268" i="15"/>
  <c r="Y270" i="15"/>
  <c r="Z272" i="15"/>
  <c r="AB274" i="15"/>
  <c r="X276" i="15"/>
  <c r="Z278" i="15"/>
  <c r="T305" i="15"/>
  <c r="AB305" i="15"/>
  <c r="M337" i="15"/>
  <c r="M338" i="15" s="1"/>
  <c r="K337" i="15"/>
  <c r="K369" i="15"/>
  <c r="K370" i="15" s="1"/>
  <c r="K373" i="15"/>
  <c r="K374" i="15" s="1"/>
  <c r="Y433" i="15"/>
  <c r="Y425" i="15"/>
  <c r="Y431" i="15"/>
  <c r="Y429" i="15"/>
  <c r="L429" i="15"/>
  <c r="X429" i="15"/>
  <c r="K429" i="15"/>
  <c r="W429" i="15"/>
  <c r="J429" i="15"/>
  <c r="V429" i="15"/>
  <c r="H429" i="15"/>
  <c r="U429" i="15"/>
  <c r="AA429" i="15"/>
  <c r="Z429" i="15"/>
  <c r="P502" i="15"/>
  <c r="O502" i="15"/>
  <c r="W212" i="15"/>
  <c r="U216" i="15"/>
  <c r="AA220" i="15"/>
  <c r="Z222" i="15"/>
  <c r="J226" i="15"/>
  <c r="X226" i="15"/>
  <c r="U232" i="15"/>
  <c r="S236" i="15"/>
  <c r="AA236" i="15"/>
  <c r="Z238" i="15"/>
  <c r="J242" i="15"/>
  <c r="X242" i="15"/>
  <c r="U248" i="15"/>
  <c r="Z254" i="15"/>
  <c r="J258" i="15"/>
  <c r="X258" i="15"/>
  <c r="U264" i="15"/>
  <c r="Z270" i="15"/>
  <c r="J274" i="15"/>
  <c r="X274" i="15"/>
  <c r="U280" i="15"/>
  <c r="J310" i="15"/>
  <c r="V310" i="15"/>
  <c r="J312" i="15"/>
  <c r="V312" i="15"/>
  <c r="V314" i="15"/>
  <c r="V320" i="15"/>
  <c r="V322" i="15"/>
  <c r="V324" i="15"/>
  <c r="V326" i="15"/>
  <c r="V330" i="15"/>
  <c r="V332" i="15"/>
  <c r="V334" i="15"/>
  <c r="V336" i="15"/>
  <c r="K355" i="15"/>
  <c r="V358" i="15"/>
  <c r="U362" i="15"/>
  <c r="H362" i="15"/>
  <c r="AA362" i="15"/>
  <c r="Z362" i="15"/>
  <c r="X362" i="15"/>
  <c r="K367" i="15"/>
  <c r="V368" i="15"/>
  <c r="U370" i="15"/>
  <c r="U374" i="15"/>
  <c r="V378" i="15"/>
  <c r="X384" i="15"/>
  <c r="M383" i="15"/>
  <c r="M384" i="15" s="1"/>
  <c r="W384" i="15"/>
  <c r="V384" i="15"/>
  <c r="J384" i="15"/>
  <c r="U384" i="15"/>
  <c r="H384" i="15"/>
  <c r="Z384" i="15"/>
  <c r="AA388" i="15"/>
  <c r="Z413" i="15"/>
  <c r="Y413" i="15"/>
  <c r="K413" i="15"/>
  <c r="N413" i="15" s="1"/>
  <c r="X413" i="15"/>
  <c r="J413" i="15"/>
  <c r="W413" i="15"/>
  <c r="H413" i="15"/>
  <c r="V413" i="15"/>
  <c r="T413" i="15"/>
  <c r="AA413" i="15"/>
  <c r="S413" i="15"/>
  <c r="P468" i="15"/>
  <c r="O468" i="15"/>
  <c r="O486" i="15"/>
  <c r="P486" i="15"/>
  <c r="P500" i="15"/>
  <c r="O500" i="15"/>
  <c r="O510" i="15"/>
  <c r="P510" i="15"/>
  <c r="K212" i="15"/>
  <c r="N212" i="15" s="1"/>
  <c r="Y212" i="15"/>
  <c r="H216" i="15"/>
  <c r="W216" i="15"/>
  <c r="U220" i="15"/>
  <c r="Z226" i="15"/>
  <c r="K228" i="15"/>
  <c r="Y228" i="15"/>
  <c r="H232" i="15"/>
  <c r="W232" i="15"/>
  <c r="U236" i="15"/>
  <c r="Z242" i="15"/>
  <c r="K244" i="15"/>
  <c r="Y244" i="15"/>
  <c r="H248" i="15"/>
  <c r="W248" i="15"/>
  <c r="U252" i="15"/>
  <c r="Z258" i="15"/>
  <c r="K260" i="15"/>
  <c r="Y260" i="15"/>
  <c r="H264" i="15"/>
  <c r="W264" i="15"/>
  <c r="U268" i="15"/>
  <c r="Z274" i="15"/>
  <c r="K276" i="15"/>
  <c r="Y276" i="15"/>
  <c r="H280" i="15"/>
  <c r="W280" i="15"/>
  <c r="W378" i="15"/>
  <c r="W376" i="15"/>
  <c r="W374" i="15"/>
  <c r="W372" i="15"/>
  <c r="M309" i="15"/>
  <c r="M310" i="15" s="1"/>
  <c r="X310" i="15"/>
  <c r="M311" i="15"/>
  <c r="M312" i="15" s="1"/>
  <c r="X312" i="15"/>
  <c r="M313" i="15"/>
  <c r="M314" i="15" s="1"/>
  <c r="X314" i="15"/>
  <c r="M315" i="15"/>
  <c r="M316" i="15" s="1"/>
  <c r="X316" i="15"/>
  <c r="M317" i="15"/>
  <c r="M318" i="15" s="1"/>
  <c r="X318" i="15"/>
  <c r="M319" i="15"/>
  <c r="M320" i="15" s="1"/>
  <c r="X320" i="15"/>
  <c r="M321" i="15"/>
  <c r="M322" i="15" s="1"/>
  <c r="X322" i="15"/>
  <c r="M323" i="15"/>
  <c r="M324" i="15" s="1"/>
  <c r="X324" i="15"/>
  <c r="M325" i="15"/>
  <c r="M326" i="15" s="1"/>
  <c r="X326" i="15"/>
  <c r="M327" i="15"/>
  <c r="M328" i="15" s="1"/>
  <c r="X328" i="15"/>
  <c r="M329" i="15"/>
  <c r="M330" i="15" s="1"/>
  <c r="X330" i="15"/>
  <c r="X332" i="15"/>
  <c r="X334" i="15"/>
  <c r="X336" i="15"/>
  <c r="X338" i="15"/>
  <c r="X340" i="15"/>
  <c r="X342" i="15"/>
  <c r="X344" i="15"/>
  <c r="U346" i="15"/>
  <c r="H346" i="15"/>
  <c r="AA346" i="15"/>
  <c r="V354" i="15"/>
  <c r="W356" i="15"/>
  <c r="U358" i="15"/>
  <c r="H358" i="15"/>
  <c r="AA358" i="15"/>
  <c r="Z358" i="15"/>
  <c r="X358" i="15"/>
  <c r="J362" i="15"/>
  <c r="K364" i="15"/>
  <c r="X368" i="15"/>
  <c r="V372" i="15"/>
  <c r="U376" i="15"/>
  <c r="K377" i="15"/>
  <c r="K383" i="15"/>
  <c r="K384" i="15" s="1"/>
  <c r="X388" i="15"/>
  <c r="M387" i="15"/>
  <c r="M388" i="15" s="1"/>
  <c r="W388" i="15"/>
  <c r="V388" i="15"/>
  <c r="J388" i="15"/>
  <c r="U388" i="15"/>
  <c r="H388" i="15"/>
  <c r="Z388" i="15"/>
  <c r="AB453" i="15"/>
  <c r="O470" i="15"/>
  <c r="P470" i="15"/>
  <c r="AA478" i="15"/>
  <c r="H478" i="15"/>
  <c r="Z478" i="15"/>
  <c r="Y478" i="15"/>
  <c r="X478" i="15"/>
  <c r="W478" i="15"/>
  <c r="U478" i="15"/>
  <c r="K478" i="15"/>
  <c r="N478" i="15" s="1"/>
  <c r="J478" i="15"/>
  <c r="M581" i="15"/>
  <c r="L581" i="15"/>
  <c r="L595" i="15"/>
  <c r="M595" i="15"/>
  <c r="V601" i="15"/>
  <c r="Z212" i="15"/>
  <c r="J216" i="15"/>
  <c r="X216" i="15"/>
  <c r="U222" i="15"/>
  <c r="S226" i="15"/>
  <c r="AA226" i="15"/>
  <c r="X232" i="15"/>
  <c r="U238" i="15"/>
  <c r="S242" i="15"/>
  <c r="AA242" i="15"/>
  <c r="Z244" i="15"/>
  <c r="J248" i="15"/>
  <c r="X248" i="15"/>
  <c r="U254" i="15"/>
  <c r="S258" i="15"/>
  <c r="AA258" i="15"/>
  <c r="Z260" i="15"/>
  <c r="J264" i="15"/>
  <c r="X264" i="15"/>
  <c r="U270" i="15"/>
  <c r="S274" i="15"/>
  <c r="AA274" i="15"/>
  <c r="J280" i="15"/>
  <c r="X280" i="15"/>
  <c r="Y310" i="15"/>
  <c r="Y312" i="15"/>
  <c r="Y314" i="15"/>
  <c r="Y316" i="15"/>
  <c r="Y318" i="15"/>
  <c r="Y320" i="15"/>
  <c r="Y322" i="15"/>
  <c r="Y324" i="15"/>
  <c r="Y326" i="15"/>
  <c r="Y328" i="15"/>
  <c r="AA344" i="15"/>
  <c r="Y344" i="15"/>
  <c r="V346" i="15"/>
  <c r="M353" i="15"/>
  <c r="M354" i="15" s="1"/>
  <c r="U356" i="15"/>
  <c r="H356" i="15"/>
  <c r="AA356" i="15"/>
  <c r="Z356" i="15"/>
  <c r="X356" i="15"/>
  <c r="Y358" i="15"/>
  <c r="U368" i="15"/>
  <c r="X372" i="15"/>
  <c r="L375" i="15"/>
  <c r="L376" i="15" s="1"/>
  <c r="K385" i="15"/>
  <c r="K386" i="15" s="1"/>
  <c r="AB425" i="15"/>
  <c r="P488" i="15"/>
  <c r="O488" i="15"/>
  <c r="AA494" i="15"/>
  <c r="H494" i="15"/>
  <c r="Z494" i="15"/>
  <c r="Y494" i="15"/>
  <c r="X494" i="15"/>
  <c r="W494" i="15"/>
  <c r="U494" i="15"/>
  <c r="K494" i="15"/>
  <c r="N494" i="15" s="1"/>
  <c r="J494" i="15"/>
  <c r="M627" i="15"/>
  <c r="L627" i="15"/>
  <c r="Z334" i="15"/>
  <c r="Z336" i="15"/>
  <c r="Z338" i="15"/>
  <c r="Z340" i="15"/>
  <c r="Z342" i="15"/>
  <c r="W352" i="15"/>
  <c r="U354" i="15"/>
  <c r="H354" i="15"/>
  <c r="AA354" i="15"/>
  <c r="Z354" i="15"/>
  <c r="X354" i="15"/>
  <c r="Y356" i="15"/>
  <c r="W366" i="15"/>
  <c r="V374" i="15"/>
  <c r="U378" i="15"/>
  <c r="X380" i="15"/>
  <c r="W380" i="15"/>
  <c r="V380" i="15"/>
  <c r="J380" i="15"/>
  <c r="U380" i="15"/>
  <c r="H380" i="15"/>
  <c r="Z380" i="15"/>
  <c r="AA380" i="15"/>
  <c r="K387" i="15"/>
  <c r="K388" i="15" s="1"/>
  <c r="T409" i="15"/>
  <c r="AA409" i="15"/>
  <c r="S409" i="15"/>
  <c r="Z409" i="15"/>
  <c r="Y409" i="15"/>
  <c r="K409" i="15"/>
  <c r="N409" i="15" s="1"/>
  <c r="X409" i="15"/>
  <c r="J409" i="15"/>
  <c r="V409" i="15"/>
  <c r="P480" i="15"/>
  <c r="O480" i="15"/>
  <c r="AA534" i="15"/>
  <c r="H534" i="15"/>
  <c r="Z534" i="15"/>
  <c r="Y534" i="15"/>
  <c r="X534" i="15"/>
  <c r="U534" i="15"/>
  <c r="K534" i="15"/>
  <c r="N534" i="15" s="1"/>
  <c r="J534" i="15"/>
  <c r="W534" i="15"/>
  <c r="U226" i="15"/>
  <c r="U242" i="15"/>
  <c r="U258" i="15"/>
  <c r="U274" i="15"/>
  <c r="AA326" i="15"/>
  <c r="AA328" i="15"/>
  <c r="AA330" i="15"/>
  <c r="AA332" i="15"/>
  <c r="AA334" i="15"/>
  <c r="AA336" i="15"/>
  <c r="AA338" i="15"/>
  <c r="AA340" i="15"/>
  <c r="X346" i="15"/>
  <c r="U348" i="15"/>
  <c r="H348" i="15"/>
  <c r="AA348" i="15"/>
  <c r="W348" i="15"/>
  <c r="W350" i="15"/>
  <c r="U352" i="15"/>
  <c r="H352" i="15"/>
  <c r="AA352" i="15"/>
  <c r="Z352" i="15"/>
  <c r="X352" i="15"/>
  <c r="Y354" i="15"/>
  <c r="X366" i="15"/>
  <c r="V370" i="15"/>
  <c r="U372" i="15"/>
  <c r="H409" i="15"/>
  <c r="U445" i="15"/>
  <c r="Y449" i="15"/>
  <c r="L449" i="15"/>
  <c r="X449" i="15"/>
  <c r="K449" i="15"/>
  <c r="W449" i="15"/>
  <c r="J449" i="15"/>
  <c r="V449" i="15"/>
  <c r="H449" i="15"/>
  <c r="U449" i="15"/>
  <c r="AA449" i="15"/>
  <c r="Z449" i="15"/>
  <c r="P496" i="15"/>
  <c r="O496" i="15"/>
  <c r="P528" i="15"/>
  <c r="O528" i="15"/>
  <c r="P540" i="15"/>
  <c r="O540" i="15"/>
  <c r="M607" i="15"/>
  <c r="L607" i="15"/>
  <c r="S216" i="15"/>
  <c r="K220" i="15"/>
  <c r="N220" i="15" s="1"/>
  <c r="J222" i="15"/>
  <c r="S232" i="15"/>
  <c r="K236" i="15"/>
  <c r="N236" i="15" s="1"/>
  <c r="J238" i="15"/>
  <c r="S248" i="15"/>
  <c r="K252" i="15"/>
  <c r="N252" i="15" s="1"/>
  <c r="J254" i="15"/>
  <c r="S264" i="15"/>
  <c r="K268" i="15"/>
  <c r="N268" i="15" s="1"/>
  <c r="J270" i="15"/>
  <c r="S280" i="15"/>
  <c r="Y346" i="15"/>
  <c r="X348" i="15"/>
  <c r="U350" i="15"/>
  <c r="H350" i="15"/>
  <c r="AA350" i="15"/>
  <c r="Z350" i="15"/>
  <c r="X350" i="15"/>
  <c r="Y352" i="15"/>
  <c r="J354" i="15"/>
  <c r="V362" i="15"/>
  <c r="U366" i="15"/>
  <c r="W370" i="15"/>
  <c r="AA384" i="15"/>
  <c r="AB402" i="15"/>
  <c r="U409" i="15"/>
  <c r="Y441" i="15"/>
  <c r="L441" i="15"/>
  <c r="X441" i="15"/>
  <c r="K441" i="15"/>
  <c r="W441" i="15"/>
  <c r="J441" i="15"/>
  <c r="V441" i="15"/>
  <c r="H441" i="15"/>
  <c r="U441" i="15"/>
  <c r="AA441" i="15"/>
  <c r="Z441" i="15"/>
  <c r="P472" i="15"/>
  <c r="O472" i="15"/>
  <c r="P512" i="15"/>
  <c r="O512" i="15"/>
  <c r="M611" i="15"/>
  <c r="L611" i="15"/>
  <c r="Z544" i="15"/>
  <c r="Z540" i="15"/>
  <c r="Z524" i="15"/>
  <c r="Z466" i="15"/>
  <c r="V474" i="15"/>
  <c r="AB514" i="15" s="1"/>
  <c r="AB478" i="15"/>
  <c r="AA480" i="15"/>
  <c r="Z482" i="15"/>
  <c r="V490" i="15"/>
  <c r="U492" i="15"/>
  <c r="AA496" i="15"/>
  <c r="Z498" i="15"/>
  <c r="W510" i="15"/>
  <c r="Z512" i="15"/>
  <c r="P520" i="15"/>
  <c r="O520" i="15"/>
  <c r="AA524" i="15"/>
  <c r="Y528" i="15"/>
  <c r="W540" i="15"/>
  <c r="Y540" i="15"/>
  <c r="U581" i="15"/>
  <c r="K581" i="15"/>
  <c r="N581" i="15" s="1"/>
  <c r="J581" i="15"/>
  <c r="AA581" i="15"/>
  <c r="H581" i="15"/>
  <c r="Z581" i="15"/>
  <c r="Y581" i="15"/>
  <c r="W581" i="15"/>
  <c r="Z671" i="15"/>
  <c r="H671" i="15"/>
  <c r="Y671" i="15"/>
  <c r="X671" i="15"/>
  <c r="W671" i="15"/>
  <c r="J671" i="15"/>
  <c r="V671" i="15"/>
  <c r="L824" i="15"/>
  <c r="M824" i="15"/>
  <c r="U411" i="15"/>
  <c r="W425" i="15"/>
  <c r="U427" i="15"/>
  <c r="W433" i="15"/>
  <c r="U447" i="15"/>
  <c r="AA542" i="15"/>
  <c r="AA538" i="15"/>
  <c r="AA522" i="15"/>
  <c r="AA466" i="15"/>
  <c r="Z468" i="15"/>
  <c r="W474" i="15"/>
  <c r="V476" i="15"/>
  <c r="AB480" i="15"/>
  <c r="AA482" i="15"/>
  <c r="Z484" i="15"/>
  <c r="X488" i="15"/>
  <c r="W490" i="15"/>
  <c r="V492" i="15"/>
  <c r="AB496" i="15"/>
  <c r="AA498" i="15"/>
  <c r="Z500" i="15"/>
  <c r="X508" i="15"/>
  <c r="X510" i="15"/>
  <c r="AA518" i="15"/>
  <c r="H518" i="15"/>
  <c r="Z518" i="15"/>
  <c r="Y518" i="15"/>
  <c r="X518" i="15"/>
  <c r="U518" i="15"/>
  <c r="K518" i="15"/>
  <c r="N518" i="15" s="1"/>
  <c r="V518" i="15"/>
  <c r="P524" i="15"/>
  <c r="O524" i="15"/>
  <c r="AB524" i="15"/>
  <c r="Z528" i="15"/>
  <c r="P536" i="15"/>
  <c r="O536" i="15"/>
  <c r="AA540" i="15"/>
  <c r="AB639" i="15"/>
  <c r="AB623" i="15"/>
  <c r="AB637" i="15"/>
  <c r="AB621" i="15"/>
  <c r="AB635" i="15"/>
  <c r="AB619" i="15"/>
  <c r="AB633" i="15"/>
  <c r="AB643" i="15"/>
  <c r="AB627" i="15"/>
  <c r="AB611" i="15"/>
  <c r="AB647" i="15"/>
  <c r="AB599" i="15"/>
  <c r="AB597" i="15"/>
  <c r="AB595" i="15"/>
  <c r="AB629" i="15"/>
  <c r="AB609" i="15"/>
  <c r="AB593" i="15"/>
  <c r="AB625" i="15"/>
  <c r="AB615" i="15"/>
  <c r="AB591" i="15"/>
  <c r="AB641" i="15"/>
  <c r="AB613" i="15"/>
  <c r="AB603" i="15"/>
  <c r="AA569" i="15"/>
  <c r="H569" i="15"/>
  <c r="Z569" i="15"/>
  <c r="Y569" i="15"/>
  <c r="X569" i="15"/>
  <c r="W569" i="15"/>
  <c r="U569" i="15"/>
  <c r="K569" i="15"/>
  <c r="N569" i="15" s="1"/>
  <c r="AB569" i="15"/>
  <c r="M573" i="15"/>
  <c r="L573" i="15"/>
  <c r="M625" i="15"/>
  <c r="L625" i="15"/>
  <c r="M631" i="15"/>
  <c r="L631" i="15"/>
  <c r="W673" i="15"/>
  <c r="K690" i="15"/>
  <c r="L690" i="15" s="1"/>
  <c r="M691" i="15"/>
  <c r="Q691" i="15" s="1"/>
  <c r="W697" i="15"/>
  <c r="K722" i="15"/>
  <c r="L723" i="15" s="1"/>
  <c r="M723" i="15"/>
  <c r="Q723" i="15" s="1"/>
  <c r="Y366" i="15"/>
  <c r="Y368" i="15"/>
  <c r="Y370" i="15"/>
  <c r="Y372" i="15"/>
  <c r="Y374" i="15"/>
  <c r="Y376" i="15"/>
  <c r="Y378" i="15"/>
  <c r="H411" i="15"/>
  <c r="W411" i="15"/>
  <c r="U415" i="15"/>
  <c r="J427" i="15"/>
  <c r="W427" i="15"/>
  <c r="J447" i="15"/>
  <c r="W447" i="15"/>
  <c r="U466" i="15"/>
  <c r="AA470" i="15"/>
  <c r="Z472" i="15"/>
  <c r="Y474" i="15"/>
  <c r="X476" i="15"/>
  <c r="O478" i="15"/>
  <c r="Q478" i="15" s="1"/>
  <c r="V480" i="15"/>
  <c r="U482" i="15"/>
  <c r="AB484" i="15"/>
  <c r="AA486" i="15"/>
  <c r="Z488" i="15"/>
  <c r="Y490" i="15"/>
  <c r="X492" i="15"/>
  <c r="O494" i="15"/>
  <c r="Q494" i="15" s="1"/>
  <c r="V496" i="15"/>
  <c r="U498" i="15"/>
  <c r="Z504" i="15"/>
  <c r="Y504" i="15"/>
  <c r="X504" i="15"/>
  <c r="W504" i="15"/>
  <c r="P508" i="15"/>
  <c r="O508" i="15"/>
  <c r="Y508" i="15"/>
  <c r="Z510" i="15"/>
  <c r="U522" i="15"/>
  <c r="V526" i="15"/>
  <c r="X526" i="15"/>
  <c r="U530" i="15"/>
  <c r="K530" i="15"/>
  <c r="N530" i="15" s="1"/>
  <c r="J530" i="15"/>
  <c r="AA530" i="15"/>
  <c r="H530" i="15"/>
  <c r="Z530" i="15"/>
  <c r="W530" i="15"/>
  <c r="Y530" i="15"/>
  <c r="X538" i="15"/>
  <c r="M587" i="15"/>
  <c r="L587" i="15"/>
  <c r="M591" i="15"/>
  <c r="L591" i="15"/>
  <c r="U597" i="15"/>
  <c r="K597" i="15"/>
  <c r="N597" i="15" s="1"/>
  <c r="J597" i="15"/>
  <c r="AA597" i="15"/>
  <c r="H597" i="15"/>
  <c r="Z597" i="15"/>
  <c r="Y597" i="15"/>
  <c r="W597" i="15"/>
  <c r="W876" i="15"/>
  <c r="W749" i="15"/>
  <c r="W741" i="15"/>
  <c r="W733" i="15"/>
  <c r="W725" i="15"/>
  <c r="W701" i="15"/>
  <c r="W693" i="15"/>
  <c r="W685" i="15"/>
  <c r="W677" i="15"/>
  <c r="W715" i="15"/>
  <c r="W723" i="15"/>
  <c r="W711" i="15"/>
  <c r="W747" i="15"/>
  <c r="W675" i="15"/>
  <c r="W739" i="15"/>
  <c r="W699" i="15"/>
  <c r="W681" i="15"/>
  <c r="W683" i="15"/>
  <c r="W731" i="15"/>
  <c r="I673" i="15"/>
  <c r="C673" i="15"/>
  <c r="W691" i="15"/>
  <c r="M778" i="15"/>
  <c r="L778" i="15"/>
  <c r="AA782" i="15"/>
  <c r="H782" i="15"/>
  <c r="Z782" i="15"/>
  <c r="Y782" i="15"/>
  <c r="X782" i="15"/>
  <c r="U782" i="15"/>
  <c r="K782" i="15"/>
  <c r="N782" i="15" s="1"/>
  <c r="J782" i="15"/>
  <c r="M822" i="15"/>
  <c r="L822" i="15"/>
  <c r="Z366" i="15"/>
  <c r="Z368" i="15"/>
  <c r="Z370" i="15"/>
  <c r="Z372" i="15"/>
  <c r="Z374" i="15"/>
  <c r="Z376" i="15"/>
  <c r="Z378" i="15"/>
  <c r="Z407" i="15"/>
  <c r="J411" i="15"/>
  <c r="X411" i="15"/>
  <c r="V415" i="15"/>
  <c r="Z425" i="15"/>
  <c r="K427" i="15"/>
  <c r="X427" i="15"/>
  <c r="Z433" i="15"/>
  <c r="Z445" i="15"/>
  <c r="K447" i="15"/>
  <c r="X447" i="15"/>
  <c r="AB532" i="15"/>
  <c r="AB516" i="15"/>
  <c r="AB530" i="15"/>
  <c r="AB544" i="15"/>
  <c r="AB528" i="15"/>
  <c r="AB542" i="15"/>
  <c r="AB526" i="15"/>
  <c r="AB536" i="15"/>
  <c r="AB520" i="15"/>
  <c r="K468" i="15"/>
  <c r="U468" i="15"/>
  <c r="J470" i="15"/>
  <c r="H472" i="15"/>
  <c r="AA472" i="15"/>
  <c r="Z474" i="15"/>
  <c r="Y476" i="15"/>
  <c r="W480" i="15"/>
  <c r="K484" i="15"/>
  <c r="U484" i="15"/>
  <c r="J486" i="15"/>
  <c r="AB486" i="15"/>
  <c r="H488" i="15"/>
  <c r="AA488" i="15"/>
  <c r="Z490" i="15"/>
  <c r="Y492" i="15"/>
  <c r="W496" i="15"/>
  <c r="K500" i="15"/>
  <c r="U500" i="15"/>
  <c r="J502" i="15"/>
  <c r="U504" i="15"/>
  <c r="P506" i="15"/>
  <c r="O506" i="15"/>
  <c r="U506" i="15"/>
  <c r="Z508" i="15"/>
  <c r="AA510" i="15"/>
  <c r="U516" i="15"/>
  <c r="P522" i="15"/>
  <c r="O522" i="15"/>
  <c r="Z522" i="15"/>
  <c r="Z526" i="15"/>
  <c r="AB534" i="15"/>
  <c r="U538" i="15"/>
  <c r="V542" i="15"/>
  <c r="Z542" i="15"/>
  <c r="M603" i="15"/>
  <c r="L603" i="15"/>
  <c r="M645" i="15"/>
  <c r="L645" i="15"/>
  <c r="L834" i="15"/>
  <c r="M834" i="15"/>
  <c r="AA366" i="15"/>
  <c r="AA368" i="15"/>
  <c r="AA370" i="15"/>
  <c r="AA372" i="15"/>
  <c r="AA374" i="15"/>
  <c r="AA376" i="15"/>
  <c r="AA378" i="15"/>
  <c r="AA407" i="15"/>
  <c r="K411" i="15"/>
  <c r="N411" i="15" s="1"/>
  <c r="Y411" i="15"/>
  <c r="H415" i="15"/>
  <c r="W415" i="15"/>
  <c r="AB420" i="15"/>
  <c r="AA425" i="15"/>
  <c r="L427" i="15"/>
  <c r="Y427" i="15"/>
  <c r="U431" i="15"/>
  <c r="AA433" i="15"/>
  <c r="AA445" i="15"/>
  <c r="L447" i="15"/>
  <c r="Y447" i="15"/>
  <c r="W542" i="15"/>
  <c r="W526" i="15"/>
  <c r="O466" i="15"/>
  <c r="Q466" i="15" s="1"/>
  <c r="W466" i="15"/>
  <c r="V468" i="15"/>
  <c r="AB508" i="15" s="1"/>
  <c r="U470" i="15"/>
  <c r="H474" i="15"/>
  <c r="AA474" i="15"/>
  <c r="Z476" i="15"/>
  <c r="X480" i="15"/>
  <c r="O482" i="15"/>
  <c r="Q482" i="15" s="1"/>
  <c r="W482" i="15"/>
  <c r="V484" i="15"/>
  <c r="U486" i="15"/>
  <c r="AB488" i="15"/>
  <c r="H490" i="15"/>
  <c r="AA490" i="15"/>
  <c r="Z492" i="15"/>
  <c r="X496" i="15"/>
  <c r="O498" i="15"/>
  <c r="Q498" i="15" s="1"/>
  <c r="W498" i="15"/>
  <c r="V500" i="15"/>
  <c r="P504" i="15"/>
  <c r="O504" i="15"/>
  <c r="V504" i="15"/>
  <c r="Z506" i="15"/>
  <c r="AA508" i="15"/>
  <c r="W516" i="15"/>
  <c r="J518" i="15"/>
  <c r="U520" i="15"/>
  <c r="AB522" i="15"/>
  <c r="AA526" i="15"/>
  <c r="U532" i="15"/>
  <c r="P538" i="15"/>
  <c r="O538" i="15"/>
  <c r="Z538" i="15"/>
  <c r="J569" i="15"/>
  <c r="V581" i="15"/>
  <c r="M615" i="15"/>
  <c r="R615" i="15" s="1"/>
  <c r="U671" i="15"/>
  <c r="L828" i="15"/>
  <c r="M828" i="15"/>
  <c r="Z411" i="15"/>
  <c r="J415" i="15"/>
  <c r="X415" i="15"/>
  <c r="Z427" i="15"/>
  <c r="Z447" i="15"/>
  <c r="X540" i="15"/>
  <c r="X524" i="15"/>
  <c r="X528" i="15"/>
  <c r="X512" i="15"/>
  <c r="X466" i="15"/>
  <c r="W468" i="15"/>
  <c r="V470" i="15"/>
  <c r="AB510" i="15" s="1"/>
  <c r="U472" i="15"/>
  <c r="J474" i="15"/>
  <c r="H476" i="15"/>
  <c r="AA476" i="15"/>
  <c r="Y480" i="15"/>
  <c r="X482" i="15"/>
  <c r="W484" i="15"/>
  <c r="V486" i="15"/>
  <c r="J490" i="15"/>
  <c r="H492" i="15"/>
  <c r="AA492" i="15"/>
  <c r="Y496" i="15"/>
  <c r="X498" i="15"/>
  <c r="W500" i="15"/>
  <c r="AA502" i="15"/>
  <c r="Y502" i="15"/>
  <c r="X502" i="15"/>
  <c r="W502" i="15"/>
  <c r="H504" i="15"/>
  <c r="AA504" i="15"/>
  <c r="AA506" i="15"/>
  <c r="V512" i="15"/>
  <c r="W512" i="15"/>
  <c r="X516" i="15"/>
  <c r="Z520" i="15"/>
  <c r="Y520" i="15"/>
  <c r="X520" i="15"/>
  <c r="W520" i="15"/>
  <c r="J520" i="15"/>
  <c r="V520" i="15"/>
  <c r="W532" i="15"/>
  <c r="AB538" i="15"/>
  <c r="V544" i="15"/>
  <c r="M571" i="15"/>
  <c r="L571" i="15"/>
  <c r="X581" i="15"/>
  <c r="AA585" i="15"/>
  <c r="H585" i="15"/>
  <c r="Z585" i="15"/>
  <c r="Y585" i="15"/>
  <c r="X585" i="15"/>
  <c r="W585" i="15"/>
  <c r="U585" i="15"/>
  <c r="K585" i="15"/>
  <c r="N585" i="15" s="1"/>
  <c r="M589" i="15"/>
  <c r="L589" i="15"/>
  <c r="L597" i="15"/>
  <c r="Q597" i="15" s="1"/>
  <c r="M605" i="15"/>
  <c r="L605" i="15"/>
  <c r="AB605" i="15"/>
  <c r="AA671" i="15"/>
  <c r="W719" i="15"/>
  <c r="H366" i="15"/>
  <c r="H368" i="15"/>
  <c r="H370" i="15"/>
  <c r="H372" i="15"/>
  <c r="H374" i="15"/>
  <c r="H376" i="15"/>
  <c r="H378" i="15"/>
  <c r="S411" i="15"/>
  <c r="K415" i="15"/>
  <c r="N415" i="15" s="1"/>
  <c r="Y538" i="15"/>
  <c r="Y522" i="15"/>
  <c r="Y542" i="15"/>
  <c r="Y526" i="15"/>
  <c r="Y466" i="15"/>
  <c r="K474" i="15"/>
  <c r="N474" i="15" s="1"/>
  <c r="J476" i="15"/>
  <c r="AB476" i="15"/>
  <c r="Y482" i="15"/>
  <c r="K490" i="15"/>
  <c r="N490" i="15" s="1"/>
  <c r="J492" i="15"/>
  <c r="Y498" i="15"/>
  <c r="Z502" i="15"/>
  <c r="J504" i="15"/>
  <c r="Y512" i="15"/>
  <c r="AA520" i="15"/>
  <c r="W524" i="15"/>
  <c r="Y524" i="15"/>
  <c r="V528" i="15"/>
  <c r="W528" i="15"/>
  <c r="P530" i="15"/>
  <c r="Q530" i="15" s="1"/>
  <c r="X532" i="15"/>
  <c r="Z536" i="15"/>
  <c r="Y536" i="15"/>
  <c r="X536" i="15"/>
  <c r="W536" i="15"/>
  <c r="J536" i="15"/>
  <c r="V536" i="15"/>
  <c r="AB564" i="15"/>
  <c r="AB556" i="15" s="1"/>
  <c r="M575" i="15"/>
  <c r="L575" i="15"/>
  <c r="M583" i="15"/>
  <c r="AB589" i="15"/>
  <c r="AA601" i="15"/>
  <c r="H601" i="15"/>
  <c r="Z601" i="15"/>
  <c r="Y601" i="15"/>
  <c r="X601" i="15"/>
  <c r="W601" i="15"/>
  <c r="U601" i="15"/>
  <c r="K601" i="15"/>
  <c r="N601" i="15" s="1"/>
  <c r="AB601" i="15"/>
  <c r="AB631" i="15"/>
  <c r="J689" i="15"/>
  <c r="AA689" i="15"/>
  <c r="Z689" i="15"/>
  <c r="H689" i="15"/>
  <c r="Y689" i="15"/>
  <c r="V689" i="15"/>
  <c r="W689" i="15"/>
  <c r="Z695" i="15"/>
  <c r="H695" i="15"/>
  <c r="Y695" i="15"/>
  <c r="X695" i="15"/>
  <c r="W695" i="15"/>
  <c r="J695" i="15"/>
  <c r="V695" i="15"/>
  <c r="W727" i="15"/>
  <c r="V516" i="15"/>
  <c r="V532" i="15"/>
  <c r="X544" i="15"/>
  <c r="J571" i="15"/>
  <c r="AA573" i="15"/>
  <c r="Z575" i="15"/>
  <c r="Y577" i="15"/>
  <c r="X579" i="15"/>
  <c r="V583" i="15"/>
  <c r="J587" i="15"/>
  <c r="AA589" i="15"/>
  <c r="Z591" i="15"/>
  <c r="Y593" i="15"/>
  <c r="X595" i="15"/>
  <c r="V599" i="15"/>
  <c r="J603" i="15"/>
  <c r="AA605" i="15"/>
  <c r="Z607" i="15"/>
  <c r="Y609" i="15"/>
  <c r="Y615" i="15"/>
  <c r="Z617" i="15"/>
  <c r="U621" i="15"/>
  <c r="K621" i="15"/>
  <c r="N621" i="15" s="1"/>
  <c r="J621" i="15"/>
  <c r="AA621" i="15"/>
  <c r="H621" i="15"/>
  <c r="Z621" i="15"/>
  <c r="W621" i="15"/>
  <c r="Y621" i="15"/>
  <c r="AA625" i="15"/>
  <c r="H625" i="15"/>
  <c r="Z625" i="15"/>
  <c r="Y625" i="15"/>
  <c r="X625" i="15"/>
  <c r="U625" i="15"/>
  <c r="K625" i="15"/>
  <c r="N625" i="15" s="1"/>
  <c r="V625" i="15"/>
  <c r="AA631" i="15"/>
  <c r="M639" i="15"/>
  <c r="Z645" i="15"/>
  <c r="Y691" i="15"/>
  <c r="I697" i="15"/>
  <c r="C697" i="15"/>
  <c r="Z727" i="15"/>
  <c r="C735" i="15"/>
  <c r="I735" i="15"/>
  <c r="Z737" i="15"/>
  <c r="W743" i="15"/>
  <c r="M804" i="15"/>
  <c r="L804" i="15"/>
  <c r="W771" i="15"/>
  <c r="W647" i="15"/>
  <c r="W631" i="15"/>
  <c r="V571" i="15"/>
  <c r="V587" i="15"/>
  <c r="V603" i="15"/>
  <c r="U605" i="15"/>
  <c r="AA609" i="15"/>
  <c r="U611" i="15"/>
  <c r="W613" i="15"/>
  <c r="V615" i="15"/>
  <c r="Z629" i="15"/>
  <c r="V635" i="15"/>
  <c r="W635" i="15"/>
  <c r="U639" i="15"/>
  <c r="U643" i="15"/>
  <c r="Z687" i="15"/>
  <c r="H687" i="15"/>
  <c r="Y687" i="15"/>
  <c r="X687" i="15"/>
  <c r="W687" i="15"/>
  <c r="J687" i="15"/>
  <c r="U687" i="15"/>
  <c r="I741" i="15"/>
  <c r="C741" i="15"/>
  <c r="C743" i="15"/>
  <c r="I743" i="15"/>
  <c r="Y745" i="15"/>
  <c r="X745" i="15"/>
  <c r="W745" i="15"/>
  <c r="V745" i="15"/>
  <c r="AA745" i="15"/>
  <c r="J745" i="15"/>
  <c r="H745" i="15"/>
  <c r="U794" i="15"/>
  <c r="K794" i="15"/>
  <c r="N794" i="15" s="1"/>
  <c r="J794" i="15"/>
  <c r="AA794" i="15"/>
  <c r="H794" i="15"/>
  <c r="Z794" i="15"/>
  <c r="X794" i="15"/>
  <c r="V794" i="15"/>
  <c r="M881" i="15"/>
  <c r="L881" i="15"/>
  <c r="V506" i="15"/>
  <c r="K508" i="15"/>
  <c r="N508" i="15" s="1"/>
  <c r="U508" i="15"/>
  <c r="J510" i="15"/>
  <c r="H512" i="15"/>
  <c r="AA512" i="15"/>
  <c r="Y516" i="15"/>
  <c r="V522" i="15"/>
  <c r="K524" i="15"/>
  <c r="N524" i="15" s="1"/>
  <c r="U524" i="15"/>
  <c r="J526" i="15"/>
  <c r="H528" i="15"/>
  <c r="AA528" i="15"/>
  <c r="Y532" i="15"/>
  <c r="V538" i="15"/>
  <c r="K540" i="15"/>
  <c r="N540" i="15" s="1"/>
  <c r="U540" i="15"/>
  <c r="J542" i="15"/>
  <c r="H544" i="15"/>
  <c r="AA544" i="15"/>
  <c r="X631" i="15"/>
  <c r="X645" i="15"/>
  <c r="X629" i="15"/>
  <c r="W571" i="15"/>
  <c r="V573" i="15"/>
  <c r="K575" i="15"/>
  <c r="N575" i="15" s="1"/>
  <c r="U575" i="15"/>
  <c r="J577" i="15"/>
  <c r="H579" i="15"/>
  <c r="AA579" i="15"/>
  <c r="Y583" i="15"/>
  <c r="W587" i="15"/>
  <c r="V589" i="15"/>
  <c r="U591" i="15"/>
  <c r="J593" i="15"/>
  <c r="H595" i="15"/>
  <c r="AA595" i="15"/>
  <c r="Y599" i="15"/>
  <c r="W603" i="15"/>
  <c r="V605" i="15"/>
  <c r="K607" i="15"/>
  <c r="N607" i="15" s="1"/>
  <c r="U607" i="15"/>
  <c r="J609" i="15"/>
  <c r="H611" i="15"/>
  <c r="V611" i="15"/>
  <c r="L621" i="15"/>
  <c r="Q621" i="15" s="1"/>
  <c r="V623" i="15"/>
  <c r="M629" i="15"/>
  <c r="L629" i="15"/>
  <c r="W633" i="15"/>
  <c r="W639" i="15"/>
  <c r="Z643" i="15"/>
  <c r="Y643" i="15"/>
  <c r="X643" i="15"/>
  <c r="W643" i="15"/>
  <c r="J643" i="15"/>
  <c r="V643" i="15"/>
  <c r="Y743" i="15"/>
  <c r="Y735" i="15"/>
  <c r="Y727" i="15"/>
  <c r="Y719" i="15"/>
  <c r="Y717" i="15"/>
  <c r="Y711" i="15"/>
  <c r="Y725" i="15"/>
  <c r="Y749" i="15"/>
  <c r="Y683" i="15"/>
  <c r="V687" i="15"/>
  <c r="I689" i="15"/>
  <c r="C689" i="15"/>
  <c r="K736" i="15"/>
  <c r="L737" i="15" s="1"/>
  <c r="M737" i="15"/>
  <c r="Q737" i="15" s="1"/>
  <c r="V741" i="15"/>
  <c r="M776" i="15"/>
  <c r="Q776" i="15" s="1"/>
  <c r="M790" i="15"/>
  <c r="L790" i="15"/>
  <c r="M826" i="15"/>
  <c r="L826" i="15"/>
  <c r="W506" i="15"/>
  <c r="V508" i="15"/>
  <c r="K510" i="15"/>
  <c r="N510" i="15" s="1"/>
  <c r="U510" i="15"/>
  <c r="J512" i="15"/>
  <c r="Z516" i="15"/>
  <c r="W522" i="15"/>
  <c r="V524" i="15"/>
  <c r="K526" i="15"/>
  <c r="N526" i="15" s="1"/>
  <c r="U526" i="15"/>
  <c r="J528" i="15"/>
  <c r="Z532" i="15"/>
  <c r="W538" i="15"/>
  <c r="V540" i="15"/>
  <c r="K542" i="15"/>
  <c r="N542" i="15" s="1"/>
  <c r="U542" i="15"/>
  <c r="J544" i="15"/>
  <c r="Y645" i="15"/>
  <c r="Y629" i="15"/>
  <c r="Y623" i="15"/>
  <c r="X571" i="15"/>
  <c r="W573" i="15"/>
  <c r="V575" i="15"/>
  <c r="K577" i="15"/>
  <c r="N577" i="15" s="1"/>
  <c r="U577" i="15"/>
  <c r="J579" i="15"/>
  <c r="Z583" i="15"/>
  <c r="X587" i="15"/>
  <c r="W589" i="15"/>
  <c r="V591" i="15"/>
  <c r="K593" i="15"/>
  <c r="N593" i="15" s="1"/>
  <c r="U593" i="15"/>
  <c r="J595" i="15"/>
  <c r="Z599" i="15"/>
  <c r="X603" i="15"/>
  <c r="W605" i="15"/>
  <c r="V607" i="15"/>
  <c r="K609" i="15"/>
  <c r="U609" i="15"/>
  <c r="K611" i="15"/>
  <c r="W611" i="15"/>
  <c r="M613" i="15"/>
  <c r="L613" i="15"/>
  <c r="U613" i="15"/>
  <c r="W617" i="15"/>
  <c r="U617" i="15"/>
  <c r="K617" i="15"/>
  <c r="N617" i="15" s="1"/>
  <c r="J617" i="15"/>
  <c r="Y617" i="15"/>
  <c r="V619" i="15"/>
  <c r="W619" i="15"/>
  <c r="U623" i="15"/>
  <c r="J625" i="15"/>
  <c r="Z635" i="15"/>
  <c r="V637" i="15"/>
  <c r="X639" i="15"/>
  <c r="AA643" i="15"/>
  <c r="X647" i="15"/>
  <c r="Y647" i="15"/>
  <c r="Z713" i="15"/>
  <c r="Z711" i="15"/>
  <c r="Z719" i="15"/>
  <c r="Z743" i="15"/>
  <c r="J681" i="15"/>
  <c r="AA681" i="15"/>
  <c r="Z681" i="15"/>
  <c r="H681" i="15"/>
  <c r="Y681" i="15"/>
  <c r="V681" i="15"/>
  <c r="X681" i="15"/>
  <c r="Z683" i="15"/>
  <c r="AA687" i="15"/>
  <c r="U697" i="15"/>
  <c r="X705" i="15"/>
  <c r="W705" i="15"/>
  <c r="V705" i="15"/>
  <c r="Z705" i="15"/>
  <c r="J705" i="15"/>
  <c r="Y705" i="15"/>
  <c r="U705" i="15"/>
  <c r="H705" i="15"/>
  <c r="AA705" i="15"/>
  <c r="W709" i="15"/>
  <c r="V717" i="15"/>
  <c r="Y741" i="15"/>
  <c r="V747" i="15"/>
  <c r="Z980" i="15"/>
  <c r="Z840" i="15"/>
  <c r="Z848" i="15"/>
  <c r="Z876" i="15"/>
  <c r="Z836" i="15"/>
  <c r="Z788" i="15"/>
  <c r="Z806" i="15"/>
  <c r="Z786" i="15"/>
  <c r="Z776" i="15"/>
  <c r="Z852" i="15"/>
  <c r="Z834" i="15"/>
  <c r="Z808" i="15"/>
  <c r="Z792" i="15"/>
  <c r="Z802" i="15"/>
  <c r="Z838" i="15"/>
  <c r="L808" i="15"/>
  <c r="M808" i="15"/>
  <c r="M810" i="15"/>
  <c r="L810" i="15"/>
  <c r="L854" i="15"/>
  <c r="M854" i="15"/>
  <c r="X506" i="15"/>
  <c r="W508" i="15"/>
  <c r="V510" i="15"/>
  <c r="K512" i="15"/>
  <c r="N512" i="15" s="1"/>
  <c r="U512" i="15"/>
  <c r="H516" i="15"/>
  <c r="AA516" i="15"/>
  <c r="K528" i="15"/>
  <c r="N528" i="15" s="1"/>
  <c r="U528" i="15"/>
  <c r="H532" i="15"/>
  <c r="AA532" i="15"/>
  <c r="K544" i="15"/>
  <c r="N544" i="15" s="1"/>
  <c r="U544" i="15"/>
  <c r="Y571" i="15"/>
  <c r="L577" i="15"/>
  <c r="Q577" i="15" s="1"/>
  <c r="K579" i="15"/>
  <c r="N579" i="15" s="1"/>
  <c r="U579" i="15"/>
  <c r="H583" i="15"/>
  <c r="AA583" i="15"/>
  <c r="Y587" i="15"/>
  <c r="L593" i="15"/>
  <c r="Q593" i="15" s="1"/>
  <c r="K595" i="15"/>
  <c r="N595" i="15" s="1"/>
  <c r="U595" i="15"/>
  <c r="H599" i="15"/>
  <c r="AA599" i="15"/>
  <c r="Y603" i="15"/>
  <c r="L609" i="15"/>
  <c r="Q609" i="15" s="1"/>
  <c r="X613" i="15"/>
  <c r="Y619" i="15"/>
  <c r="W623" i="15"/>
  <c r="Z627" i="15"/>
  <c r="Y627" i="15"/>
  <c r="X627" i="15"/>
  <c r="W627" i="15"/>
  <c r="J627" i="15"/>
  <c r="V627" i="15"/>
  <c r="V631" i="15"/>
  <c r="X633" i="15"/>
  <c r="V739" i="15"/>
  <c r="V733" i="15"/>
  <c r="J673" i="15"/>
  <c r="AA673" i="15"/>
  <c r="Z673" i="15"/>
  <c r="H673" i="15"/>
  <c r="Y673" i="15"/>
  <c r="V673" i="15"/>
  <c r="X673" i="15"/>
  <c r="Z679" i="15"/>
  <c r="H679" i="15"/>
  <c r="Y679" i="15"/>
  <c r="X679" i="15"/>
  <c r="W679" i="15"/>
  <c r="J679" i="15"/>
  <c r="U679" i="15"/>
  <c r="Y685" i="15"/>
  <c r="Y699" i="15"/>
  <c r="Z703" i="15"/>
  <c r="H703" i="15"/>
  <c r="Y703" i="15"/>
  <c r="X703" i="15"/>
  <c r="W703" i="15"/>
  <c r="J703" i="15"/>
  <c r="U703" i="15"/>
  <c r="Y721" i="15"/>
  <c r="X721" i="15"/>
  <c r="W721" i="15"/>
  <c r="V721" i="15"/>
  <c r="AA721" i="15"/>
  <c r="H721" i="15"/>
  <c r="Z721" i="15"/>
  <c r="U721" i="15"/>
  <c r="Y729" i="15"/>
  <c r="X729" i="15"/>
  <c r="W729" i="15"/>
  <c r="V729" i="15"/>
  <c r="AA729" i="15"/>
  <c r="J729" i="15"/>
  <c r="H729" i="15"/>
  <c r="Z729" i="15"/>
  <c r="M782" i="15"/>
  <c r="L792" i="15"/>
  <c r="M792" i="15"/>
  <c r="AA798" i="15"/>
  <c r="H798" i="15"/>
  <c r="Z798" i="15"/>
  <c r="Y798" i="15"/>
  <c r="X798" i="15"/>
  <c r="U798" i="15"/>
  <c r="K798" i="15"/>
  <c r="N798" i="15" s="1"/>
  <c r="J798" i="15"/>
  <c r="AA814" i="15"/>
  <c r="H814" i="15"/>
  <c r="Z814" i="15"/>
  <c r="Y814" i="15"/>
  <c r="X814" i="15"/>
  <c r="U814" i="15"/>
  <c r="K814" i="15"/>
  <c r="N814" i="15" s="1"/>
  <c r="J814" i="15"/>
  <c r="M830" i="15"/>
  <c r="L830" i="15"/>
  <c r="J516" i="15"/>
  <c r="J532" i="15"/>
  <c r="AA639" i="15"/>
  <c r="AA623" i="15"/>
  <c r="X575" i="15"/>
  <c r="W577" i="15"/>
  <c r="J583" i="15"/>
  <c r="Y589" i="15"/>
  <c r="X591" i="15"/>
  <c r="W593" i="15"/>
  <c r="J599" i="15"/>
  <c r="Y605" i="15"/>
  <c r="X607" i="15"/>
  <c r="W609" i="15"/>
  <c r="X611" i="15"/>
  <c r="J611" i="15"/>
  <c r="Z611" i="15"/>
  <c r="Y613" i="15"/>
  <c r="W615" i="15"/>
  <c r="Z619" i="15"/>
  <c r="V621" i="15"/>
  <c r="X623" i="15"/>
  <c r="AA627" i="15"/>
  <c r="Z633" i="15"/>
  <c r="U637" i="15"/>
  <c r="K637" i="15"/>
  <c r="N637" i="15" s="1"/>
  <c r="J637" i="15"/>
  <c r="AA637" i="15"/>
  <c r="H637" i="15"/>
  <c r="Z637" i="15"/>
  <c r="W637" i="15"/>
  <c r="Y637" i="15"/>
  <c r="AA641" i="15"/>
  <c r="H641" i="15"/>
  <c r="Z641" i="15"/>
  <c r="Y641" i="15"/>
  <c r="X641" i="15"/>
  <c r="U641" i="15"/>
  <c r="K641" i="15"/>
  <c r="N641" i="15" s="1"/>
  <c r="V641" i="15"/>
  <c r="M647" i="15"/>
  <c r="L647" i="15"/>
  <c r="I681" i="15"/>
  <c r="C681" i="15"/>
  <c r="J697" i="15"/>
  <c r="AA697" i="15"/>
  <c r="Z697" i="15"/>
  <c r="H697" i="15"/>
  <c r="Y697" i="15"/>
  <c r="V697" i="15"/>
  <c r="X697" i="15"/>
  <c r="Z699" i="15"/>
  <c r="I709" i="15"/>
  <c r="C709" i="15"/>
  <c r="Y794" i="15"/>
  <c r="Z824" i="15"/>
  <c r="L909" i="15"/>
  <c r="M909" i="15"/>
  <c r="H613" i="15"/>
  <c r="AA613" i="15"/>
  <c r="Z615" i="15"/>
  <c r="X619" i="15"/>
  <c r="H629" i="15"/>
  <c r="AA629" i="15"/>
  <c r="Z631" i="15"/>
  <c r="Y633" i="15"/>
  <c r="X635" i="15"/>
  <c r="V639" i="15"/>
  <c r="H645" i="15"/>
  <c r="AA645" i="15"/>
  <c r="Z647" i="15"/>
  <c r="AB671" i="15"/>
  <c r="X675" i="15"/>
  <c r="H677" i="15"/>
  <c r="Z677" i="15"/>
  <c r="X683" i="15"/>
  <c r="H685" i="15"/>
  <c r="Z685" i="15"/>
  <c r="X691" i="15"/>
  <c r="H693" i="15"/>
  <c r="Z693" i="15"/>
  <c r="X699" i="15"/>
  <c r="H701" i="15"/>
  <c r="Z701" i="15"/>
  <c r="AA707" i="15"/>
  <c r="M711" i="15"/>
  <c r="Q711" i="15" s="1"/>
  <c r="AA731" i="15"/>
  <c r="U733" i="15"/>
  <c r="W735" i="15"/>
  <c r="X735" i="15"/>
  <c r="Y737" i="15"/>
  <c r="X737" i="15"/>
  <c r="W737" i="15"/>
  <c r="V737" i="15"/>
  <c r="AA737" i="15"/>
  <c r="X741" i="15"/>
  <c r="Y980" i="15"/>
  <c r="Y876" i="15"/>
  <c r="Y852" i="15"/>
  <c r="Y840" i="15"/>
  <c r="Y850" i="15"/>
  <c r="Y822" i="15"/>
  <c r="Y806" i="15"/>
  <c r="Y790" i="15"/>
  <c r="U778" i="15"/>
  <c r="K778" i="15"/>
  <c r="N778" i="15" s="1"/>
  <c r="J778" i="15"/>
  <c r="AA778" i="15"/>
  <c r="H778" i="15"/>
  <c r="Z778" i="15"/>
  <c r="Y778" i="15"/>
  <c r="K800" i="15"/>
  <c r="N800" i="15" s="1"/>
  <c r="Y804" i="15"/>
  <c r="U810" i="15"/>
  <c r="K810" i="15"/>
  <c r="N810" i="15" s="1"/>
  <c r="J810" i="15"/>
  <c r="AA810" i="15"/>
  <c r="H810" i="15"/>
  <c r="Z810" i="15"/>
  <c r="Y810" i="15"/>
  <c r="AA816" i="15"/>
  <c r="Y854" i="15"/>
  <c r="L899" i="15"/>
  <c r="M899" i="15"/>
  <c r="V613" i="15"/>
  <c r="H619" i="15"/>
  <c r="AA619" i="15"/>
  <c r="V629" i="15"/>
  <c r="U631" i="15"/>
  <c r="J633" i="15"/>
  <c r="H635" i="15"/>
  <c r="AA635" i="15"/>
  <c r="Y639" i="15"/>
  <c r="V645" i="15"/>
  <c r="K647" i="15"/>
  <c r="N647" i="15" s="1"/>
  <c r="U647" i="15"/>
  <c r="AA675" i="15"/>
  <c r="U677" i="15"/>
  <c r="I683" i="15"/>
  <c r="AA683" i="15"/>
  <c r="U685" i="15"/>
  <c r="I691" i="15"/>
  <c r="AA691" i="15"/>
  <c r="U693" i="15"/>
  <c r="I699" i="15"/>
  <c r="AA699" i="15"/>
  <c r="U701" i="15"/>
  <c r="U709" i="15"/>
  <c r="V711" i="15"/>
  <c r="Y713" i="15"/>
  <c r="C717" i="15"/>
  <c r="X717" i="15"/>
  <c r="AA727" i="15"/>
  <c r="H737" i="15"/>
  <c r="L784" i="15"/>
  <c r="Q784" i="15" s="1"/>
  <c r="Y786" i="15"/>
  <c r="M788" i="15"/>
  <c r="L788" i="15"/>
  <c r="K816" i="15"/>
  <c r="N816" i="15" s="1"/>
  <c r="Y820" i="15"/>
  <c r="V826" i="15"/>
  <c r="V852" i="15"/>
  <c r="J619" i="15"/>
  <c r="K633" i="15"/>
  <c r="U633" i="15"/>
  <c r="J635" i="15"/>
  <c r="V647" i="15"/>
  <c r="AB666" i="15"/>
  <c r="J675" i="15"/>
  <c r="V677" i="15"/>
  <c r="J683" i="15"/>
  <c r="J691" i="15"/>
  <c r="J699" i="15"/>
  <c r="Z707" i="15"/>
  <c r="H707" i="15"/>
  <c r="Y707" i="15"/>
  <c r="X707" i="15"/>
  <c r="W707" i="15"/>
  <c r="AA719" i="15"/>
  <c r="K720" i="15"/>
  <c r="L720" i="15" s="1"/>
  <c r="M721" i="15"/>
  <c r="Q721" i="15" s="1"/>
  <c r="Y792" i="15"/>
  <c r="Z800" i="15"/>
  <c r="Y800" i="15"/>
  <c r="X800" i="15"/>
  <c r="J800" i="15"/>
  <c r="V800" i="15"/>
  <c r="Y808" i="15"/>
  <c r="Y818" i="15"/>
  <c r="Y834" i="15"/>
  <c r="V957" i="15"/>
  <c r="V951" i="15"/>
  <c r="U885" i="15"/>
  <c r="K885" i="15"/>
  <c r="N885" i="15" s="1"/>
  <c r="J885" i="15"/>
  <c r="H885" i="15"/>
  <c r="V885" i="15"/>
  <c r="K619" i="15"/>
  <c r="U619" i="15"/>
  <c r="V633" i="15"/>
  <c r="K635" i="15"/>
  <c r="U635" i="15"/>
  <c r="U675" i="15"/>
  <c r="K683" i="15"/>
  <c r="U683" i="15"/>
  <c r="U691" i="15"/>
  <c r="U699" i="15"/>
  <c r="J709" i="15"/>
  <c r="AA709" i="15"/>
  <c r="Z709" i="15"/>
  <c r="H709" i="15"/>
  <c r="Y709" i="15"/>
  <c r="V709" i="15"/>
  <c r="X709" i="15"/>
  <c r="K712" i="15"/>
  <c r="L712" i="15" s="1"/>
  <c r="M713" i="15"/>
  <c r="Q713" i="15" s="1"/>
  <c r="M820" i="15"/>
  <c r="L820" i="15"/>
  <c r="U826" i="15"/>
  <c r="K826" i="15"/>
  <c r="N826" i="15" s="1"/>
  <c r="J826" i="15"/>
  <c r="AA826" i="15"/>
  <c r="H826" i="15"/>
  <c r="Z826" i="15"/>
  <c r="Y826" i="15"/>
  <c r="Y830" i="15"/>
  <c r="Y836" i="15"/>
  <c r="AA842" i="15"/>
  <c r="H842" i="15"/>
  <c r="Z842" i="15"/>
  <c r="Y842" i="15"/>
  <c r="X842" i="15"/>
  <c r="U842" i="15"/>
  <c r="K842" i="15"/>
  <c r="J842" i="15"/>
  <c r="M852" i="15"/>
  <c r="L852" i="15"/>
  <c r="L887" i="15"/>
  <c r="M887" i="15"/>
  <c r="H889" i="15"/>
  <c r="X889" i="15"/>
  <c r="U889" i="15"/>
  <c r="K889" i="15"/>
  <c r="N889" i="15" s="1"/>
  <c r="J889" i="15"/>
  <c r="M1047" i="15"/>
  <c r="L1047" i="15"/>
  <c r="L683" i="15"/>
  <c r="U707" i="15"/>
  <c r="I719" i="15"/>
  <c r="M739" i="15"/>
  <c r="Q739" i="15" s="1"/>
  <c r="U749" i="15"/>
  <c r="Z784" i="15"/>
  <c r="Y784" i="15"/>
  <c r="X784" i="15"/>
  <c r="J784" i="15"/>
  <c r="M806" i="15"/>
  <c r="L806" i="15"/>
  <c r="Z816" i="15"/>
  <c r="Y816" i="15"/>
  <c r="X816" i="15"/>
  <c r="J816" i="15"/>
  <c r="U816" i="15"/>
  <c r="V824" i="15"/>
  <c r="X830" i="15"/>
  <c r="Z830" i="15"/>
  <c r="V830" i="15"/>
  <c r="H830" i="15"/>
  <c r="U830" i="15"/>
  <c r="AA830" i="15"/>
  <c r="K830" i="15"/>
  <c r="N830" i="15" s="1"/>
  <c r="X941" i="15"/>
  <c r="X955" i="15"/>
  <c r="X917" i="15"/>
  <c r="X937" i="15"/>
  <c r="X895" i="15"/>
  <c r="X947" i="15"/>
  <c r="X939" i="15"/>
  <c r="X931" i="15"/>
  <c r="X925" i="15"/>
  <c r="X891" i="15"/>
  <c r="X953" i="15"/>
  <c r="X911" i="15"/>
  <c r="X883" i="15"/>
  <c r="X901" i="15"/>
  <c r="X909" i="15"/>
  <c r="X881" i="15"/>
  <c r="V895" i="15"/>
  <c r="U897" i="15"/>
  <c r="K897" i="15"/>
  <c r="J897" i="15"/>
  <c r="H897" i="15"/>
  <c r="X897" i="15"/>
  <c r="V897" i="15"/>
  <c r="M935" i="15"/>
  <c r="L935" i="15"/>
  <c r="U715" i="15"/>
  <c r="W717" i="15"/>
  <c r="U723" i="15"/>
  <c r="U731" i="15"/>
  <c r="K739" i="15"/>
  <c r="U739" i="15"/>
  <c r="U747" i="15"/>
  <c r="X980" i="15"/>
  <c r="X854" i="15"/>
  <c r="X776" i="15"/>
  <c r="AA786" i="15"/>
  <c r="X792" i="15"/>
  <c r="V796" i="15"/>
  <c r="AA802" i="15"/>
  <c r="Z804" i="15"/>
  <c r="X808" i="15"/>
  <c r="V812" i="15"/>
  <c r="AA818" i="15"/>
  <c r="Z820" i="15"/>
  <c r="X824" i="15"/>
  <c r="V828" i="15"/>
  <c r="X832" i="15"/>
  <c r="M840" i="15"/>
  <c r="M901" i="15"/>
  <c r="L901" i="15"/>
  <c r="M921" i="15"/>
  <c r="L921" i="15"/>
  <c r="I711" i="15"/>
  <c r="AA711" i="15"/>
  <c r="V713" i="15"/>
  <c r="X715" i="15"/>
  <c r="H717" i="15"/>
  <c r="Z717" i="15"/>
  <c r="J719" i="15"/>
  <c r="X723" i="15"/>
  <c r="H725" i="15"/>
  <c r="Z725" i="15"/>
  <c r="J727" i="15"/>
  <c r="X731" i="15"/>
  <c r="H733" i="15"/>
  <c r="Z733" i="15"/>
  <c r="J735" i="15"/>
  <c r="X739" i="15"/>
  <c r="H741" i="15"/>
  <c r="Z741" i="15"/>
  <c r="J743" i="15"/>
  <c r="X747" i="15"/>
  <c r="H749" i="15"/>
  <c r="Z749" i="15"/>
  <c r="AA980" i="15"/>
  <c r="AA993" i="15" s="1"/>
  <c r="AA854" i="15"/>
  <c r="H776" i="15"/>
  <c r="AA776" i="15"/>
  <c r="Y780" i="15"/>
  <c r="L786" i="15"/>
  <c r="V786" i="15"/>
  <c r="K788" i="15"/>
  <c r="N788" i="15" s="1"/>
  <c r="U788" i="15"/>
  <c r="J790" i="15"/>
  <c r="H792" i="15"/>
  <c r="AA792" i="15"/>
  <c r="Y796" i="15"/>
  <c r="L802" i="15"/>
  <c r="V802" i="15"/>
  <c r="K804" i="15"/>
  <c r="U804" i="15"/>
  <c r="J806" i="15"/>
  <c r="H808" i="15"/>
  <c r="AA808" i="15"/>
  <c r="Y812" i="15"/>
  <c r="L818" i="15"/>
  <c r="Q818" i="15" s="1"/>
  <c r="V818" i="15"/>
  <c r="K820" i="15"/>
  <c r="U820" i="15"/>
  <c r="AA824" i="15"/>
  <c r="Y828" i="15"/>
  <c r="AA834" i="15"/>
  <c r="U840" i="15"/>
  <c r="Y848" i="15"/>
  <c r="AA852" i="15"/>
  <c r="V883" i="15"/>
  <c r="K893" i="15"/>
  <c r="N893" i="15" s="1"/>
  <c r="V893" i="15"/>
  <c r="J893" i="15"/>
  <c r="U893" i="15"/>
  <c r="H893" i="15"/>
  <c r="M897" i="15"/>
  <c r="L897" i="15"/>
  <c r="X949" i="15"/>
  <c r="J711" i="15"/>
  <c r="W713" i="15"/>
  <c r="Y715" i="15"/>
  <c r="AA717" i="15"/>
  <c r="U719" i="15"/>
  <c r="Y723" i="15"/>
  <c r="AA725" i="15"/>
  <c r="U727" i="15"/>
  <c r="Y731" i="15"/>
  <c r="AA733" i="15"/>
  <c r="U735" i="15"/>
  <c r="L738" i="15"/>
  <c r="Y739" i="15"/>
  <c r="AA741" i="15"/>
  <c r="U743" i="15"/>
  <c r="Y747" i="15"/>
  <c r="AA749" i="15"/>
  <c r="Z780" i="15"/>
  <c r="V788" i="15"/>
  <c r="U790" i="15"/>
  <c r="Z796" i="15"/>
  <c r="V804" i="15"/>
  <c r="U806" i="15"/>
  <c r="Z812" i="15"/>
  <c r="V820" i="15"/>
  <c r="Z828" i="15"/>
  <c r="U838" i="15"/>
  <c r="K838" i="15"/>
  <c r="J838" i="15"/>
  <c r="AA838" i="15"/>
  <c r="H838" i="15"/>
  <c r="V838" i="15"/>
  <c r="Z846" i="15"/>
  <c r="M850" i="15"/>
  <c r="L850" i="15"/>
  <c r="AA850" i="15"/>
  <c r="AA876" i="15"/>
  <c r="M905" i="15"/>
  <c r="L905" i="15"/>
  <c r="U923" i="15"/>
  <c r="K923" i="15"/>
  <c r="N923" i="15" s="1"/>
  <c r="J923" i="15"/>
  <c r="H923" i="15"/>
  <c r="X923" i="15"/>
  <c r="V923" i="15"/>
  <c r="M999" i="15"/>
  <c r="L999" i="15"/>
  <c r="K711" i="15"/>
  <c r="U711" i="15"/>
  <c r="X713" i="15"/>
  <c r="H715" i="15"/>
  <c r="Z715" i="15"/>
  <c r="J717" i="15"/>
  <c r="V719" i="15"/>
  <c r="H723" i="15"/>
  <c r="Z723" i="15"/>
  <c r="J725" i="15"/>
  <c r="V727" i="15"/>
  <c r="H731" i="15"/>
  <c r="Z731" i="15"/>
  <c r="J733" i="15"/>
  <c r="V735" i="15"/>
  <c r="H739" i="15"/>
  <c r="Z739" i="15"/>
  <c r="J741" i="15"/>
  <c r="V743" i="15"/>
  <c r="H747" i="15"/>
  <c r="Z747" i="15"/>
  <c r="J749" i="15"/>
  <c r="U852" i="15"/>
  <c r="U850" i="15"/>
  <c r="K776" i="15"/>
  <c r="U776" i="15"/>
  <c r="H780" i="15"/>
  <c r="AA780" i="15"/>
  <c r="X786" i="15"/>
  <c r="V790" i="15"/>
  <c r="K792" i="15"/>
  <c r="U792" i="15"/>
  <c r="H796" i="15"/>
  <c r="AA796" i="15"/>
  <c r="X802" i="15"/>
  <c r="V806" i="15"/>
  <c r="K808" i="15"/>
  <c r="U808" i="15"/>
  <c r="H812" i="15"/>
  <c r="AA812" i="15"/>
  <c r="X818" i="15"/>
  <c r="V822" i="15"/>
  <c r="K824" i="15"/>
  <c r="U824" i="15"/>
  <c r="H828" i="15"/>
  <c r="AA828" i="15"/>
  <c r="V834" i="15"/>
  <c r="X838" i="15"/>
  <c r="X840" i="15"/>
  <c r="U846" i="15"/>
  <c r="U848" i="15"/>
  <c r="L885" i="15"/>
  <c r="Q885" i="15" s="1"/>
  <c r="L711" i="15"/>
  <c r="J780" i="15"/>
  <c r="J796" i="15"/>
  <c r="J812" i="15"/>
  <c r="J828" i="15"/>
  <c r="M832" i="15"/>
  <c r="L832" i="15"/>
  <c r="V836" i="15"/>
  <c r="U836" i="15"/>
  <c r="K836" i="15"/>
  <c r="N836" i="15" s="1"/>
  <c r="J836" i="15"/>
  <c r="X836" i="15"/>
  <c r="Y838" i="15"/>
  <c r="Z844" i="15"/>
  <c r="Y844" i="15"/>
  <c r="X844" i="15"/>
  <c r="J844" i="15"/>
  <c r="U844" i="15"/>
  <c r="V854" i="15"/>
  <c r="L893" i="15"/>
  <c r="Q893" i="15" s="1"/>
  <c r="Y832" i="15"/>
  <c r="X834" i="15"/>
  <c r="V840" i="15"/>
  <c r="J846" i="15"/>
  <c r="H848" i="15"/>
  <c r="AA848" i="15"/>
  <c r="Z850" i="15"/>
  <c r="V887" i="15"/>
  <c r="V891" i="15"/>
  <c r="V911" i="15"/>
  <c r="J921" i="15"/>
  <c r="H921" i="15"/>
  <c r="X921" i="15"/>
  <c r="V921" i="15"/>
  <c r="U931" i="15"/>
  <c r="M985" i="15"/>
  <c r="R985" i="15" s="1"/>
  <c r="H903" i="15"/>
  <c r="X903" i="15"/>
  <c r="U903" i="15"/>
  <c r="U907" i="15"/>
  <c r="K907" i="15"/>
  <c r="N907" i="15" s="1"/>
  <c r="J907" i="15"/>
  <c r="M911" i="15"/>
  <c r="L911" i="15"/>
  <c r="X913" i="15"/>
  <c r="V925" i="15"/>
  <c r="V945" i="15"/>
  <c r="L953" i="15"/>
  <c r="M953" i="15"/>
  <c r="V848" i="15"/>
  <c r="U895" i="15"/>
  <c r="V903" i="15"/>
  <c r="V907" i="15"/>
  <c r="N941" i="15"/>
  <c r="L959" i="15"/>
  <c r="Q959" i="15" s="1"/>
  <c r="U1011" i="15"/>
  <c r="K1011" i="15"/>
  <c r="J1011" i="15"/>
  <c r="H1011" i="15"/>
  <c r="V1011" i="15"/>
  <c r="L1041" i="15"/>
  <c r="M1041" i="15"/>
  <c r="X846" i="15"/>
  <c r="V850" i="15"/>
  <c r="U955" i="15"/>
  <c r="U939" i="15"/>
  <c r="U927" i="15"/>
  <c r="U947" i="15"/>
  <c r="U941" i="15"/>
  <c r="U925" i="15"/>
  <c r="U911" i="15"/>
  <c r="U957" i="15"/>
  <c r="U881" i="15"/>
  <c r="M913" i="15"/>
  <c r="L913" i="15"/>
  <c r="K921" i="15"/>
  <c r="M1039" i="15"/>
  <c r="L1039" i="15"/>
  <c r="V832" i="15"/>
  <c r="K834" i="15"/>
  <c r="U834" i="15"/>
  <c r="H840" i="15"/>
  <c r="AA840" i="15"/>
  <c r="Y846" i="15"/>
  <c r="X848" i="15"/>
  <c r="K854" i="15"/>
  <c r="U854" i="15"/>
  <c r="K883" i="15"/>
  <c r="U883" i="15"/>
  <c r="H887" i="15"/>
  <c r="H891" i="15"/>
  <c r="J903" i="15"/>
  <c r="X907" i="15"/>
  <c r="X915" i="15"/>
  <c r="L923" i="15"/>
  <c r="Q923" i="15" s="1"/>
  <c r="V937" i="15"/>
  <c r="X943" i="15"/>
  <c r="J943" i="15"/>
  <c r="K943" i="15"/>
  <c r="H943" i="15"/>
  <c r="V943" i="15"/>
  <c r="J949" i="15"/>
  <c r="H949" i="15"/>
  <c r="K949" i="15"/>
  <c r="N949" i="15" s="1"/>
  <c r="L1009" i="15"/>
  <c r="M1009" i="15"/>
  <c r="J840" i="15"/>
  <c r="J887" i="15"/>
  <c r="J891" i="15"/>
  <c r="X899" i="15"/>
  <c r="U901" i="15"/>
  <c r="K903" i="15"/>
  <c r="N903" i="15" s="1"/>
  <c r="J905" i="15"/>
  <c r="H905" i="15"/>
  <c r="X905" i="15"/>
  <c r="H907" i="15"/>
  <c r="V909" i="15"/>
  <c r="H919" i="15"/>
  <c r="X919" i="15"/>
  <c r="V919" i="15"/>
  <c r="L937" i="15"/>
  <c r="M937" i="15"/>
  <c r="M939" i="15"/>
  <c r="L939" i="15"/>
  <c r="V1069" i="15"/>
  <c r="V1071" i="15"/>
  <c r="J995" i="15"/>
  <c r="K995" i="15"/>
  <c r="N995" i="15" s="1"/>
  <c r="V995" i="15"/>
  <c r="H995" i="15"/>
  <c r="U995" i="15"/>
  <c r="M1033" i="15"/>
  <c r="L1033" i="15"/>
  <c r="M1035" i="15"/>
  <c r="L1035" i="15"/>
  <c r="H895" i="15"/>
  <c r="K899" i="15"/>
  <c r="U899" i="15"/>
  <c r="V901" i="15"/>
  <c r="H911" i="15"/>
  <c r="J913" i="15"/>
  <c r="K915" i="15"/>
  <c r="U915" i="15"/>
  <c r="L917" i="15"/>
  <c r="Q917" i="15" s="1"/>
  <c r="V917" i="15"/>
  <c r="X927" i="15"/>
  <c r="J927" i="15"/>
  <c r="J929" i="15"/>
  <c r="J933" i="15"/>
  <c r="H933" i="15"/>
  <c r="V933" i="15"/>
  <c r="M947" i="15"/>
  <c r="U951" i="15"/>
  <c r="K951" i="15"/>
  <c r="J951" i="15"/>
  <c r="H951" i="15"/>
  <c r="X951" i="15"/>
  <c r="U985" i="15"/>
  <c r="J1023" i="15"/>
  <c r="K1023" i="15"/>
  <c r="N1023" i="15" s="1"/>
  <c r="V1023" i="15"/>
  <c r="H1023" i="15"/>
  <c r="U1023" i="15"/>
  <c r="J895" i="15"/>
  <c r="V899" i="15"/>
  <c r="H909" i="15"/>
  <c r="J911" i="15"/>
  <c r="K913" i="15"/>
  <c r="N913" i="15" s="1"/>
  <c r="U913" i="15"/>
  <c r="L915" i="15"/>
  <c r="Q915" i="15" s="1"/>
  <c r="V915" i="15"/>
  <c r="H925" i="15"/>
  <c r="X933" i="15"/>
  <c r="V1107" i="15"/>
  <c r="V1105" i="15"/>
  <c r="V999" i="15"/>
  <c r="U1057" i="15"/>
  <c r="U1053" i="15"/>
  <c r="U1037" i="15"/>
  <c r="U1061" i="15"/>
  <c r="U1073" i="15"/>
  <c r="U1009" i="15"/>
  <c r="U1007" i="15"/>
  <c r="U1041" i="15"/>
  <c r="U997" i="15"/>
  <c r="U1045" i="15"/>
  <c r="U1033" i="15"/>
  <c r="U1017" i="15"/>
  <c r="U1001" i="15"/>
  <c r="U991" i="15"/>
  <c r="U1005" i="15"/>
  <c r="M991" i="15"/>
  <c r="J1013" i="15"/>
  <c r="H1013" i="15"/>
  <c r="L1073" i="15"/>
  <c r="M1073" i="15"/>
  <c r="V913" i="15"/>
  <c r="X929" i="15"/>
  <c r="U929" i="15"/>
  <c r="K929" i="15"/>
  <c r="N929" i="15" s="1"/>
  <c r="U935" i="15"/>
  <c r="K935" i="15"/>
  <c r="J935" i="15"/>
  <c r="H935" i="15"/>
  <c r="X935" i="15"/>
  <c r="V955" i="15"/>
  <c r="M957" i="15"/>
  <c r="L957" i="15"/>
  <c r="M989" i="15"/>
  <c r="L989" i="15"/>
  <c r="M1013" i="15"/>
  <c r="L1013" i="15"/>
  <c r="U1019" i="15"/>
  <c r="K1019" i="15"/>
  <c r="V1019" i="15"/>
  <c r="K1027" i="15"/>
  <c r="J1027" i="15"/>
  <c r="U1027" i="15"/>
  <c r="H1027" i="15"/>
  <c r="M1137" i="15"/>
  <c r="L1137" i="15"/>
  <c r="K909" i="15"/>
  <c r="U909" i="15"/>
  <c r="K925" i="15"/>
  <c r="N925" i="15" s="1"/>
  <c r="K933" i="15"/>
  <c r="N933" i="15" s="1"/>
  <c r="V935" i="15"/>
  <c r="X945" i="15"/>
  <c r="U945" i="15"/>
  <c r="K945" i="15"/>
  <c r="J959" i="15"/>
  <c r="V959" i="15"/>
  <c r="K959" i="15"/>
  <c r="N959" i="15" s="1"/>
  <c r="U959" i="15"/>
  <c r="H959" i="15"/>
  <c r="X959" i="15"/>
  <c r="U1003" i="15"/>
  <c r="K1003" i="15"/>
  <c r="V1003" i="15"/>
  <c r="M1007" i="15"/>
  <c r="L1007" i="15"/>
  <c r="V1009" i="15"/>
  <c r="U1049" i="15"/>
  <c r="L933" i="15"/>
  <c r="Q933" i="15" s="1"/>
  <c r="V939" i="15"/>
  <c r="M941" i="15"/>
  <c r="L941" i="15"/>
  <c r="V953" i="15"/>
  <c r="M955" i="15"/>
  <c r="L955" i="15"/>
  <c r="U987" i="15"/>
  <c r="K987" i="15"/>
  <c r="J987" i="15"/>
  <c r="H987" i="15"/>
  <c r="M1023" i="15"/>
  <c r="Q1023" i="15" s="1"/>
  <c r="V931" i="15"/>
  <c r="H941" i="15"/>
  <c r="V947" i="15"/>
  <c r="H957" i="15"/>
  <c r="U989" i="15"/>
  <c r="J1041" i="15"/>
  <c r="H1041" i="15"/>
  <c r="K1041" i="15"/>
  <c r="N1041" i="15" s="1"/>
  <c r="V1041" i="15"/>
  <c r="H1043" i="15"/>
  <c r="K1043" i="15"/>
  <c r="N1043" i="15" s="1"/>
  <c r="V1043" i="15"/>
  <c r="J1099" i="15"/>
  <c r="H1099" i="15"/>
  <c r="W1099" i="15"/>
  <c r="U1099" i="15"/>
  <c r="K1099" i="15"/>
  <c r="N1099" i="15" s="1"/>
  <c r="H1025" i="15"/>
  <c r="U1025" i="15"/>
  <c r="L1029" i="15"/>
  <c r="M1105" i="15"/>
  <c r="L1105" i="15"/>
  <c r="J937" i="15"/>
  <c r="V941" i="15"/>
  <c r="J953" i="15"/>
  <c r="V1135" i="15"/>
  <c r="V1139" i="15"/>
  <c r="V1137" i="15"/>
  <c r="U993" i="15"/>
  <c r="K993" i="15"/>
  <c r="N993" i="15" s="1"/>
  <c r="J997" i="15"/>
  <c r="H997" i="15"/>
  <c r="M1091" i="15"/>
  <c r="L1091" i="15"/>
  <c r="K937" i="15"/>
  <c r="U937" i="15"/>
  <c r="K953" i="15"/>
  <c r="U953" i="15"/>
  <c r="X957" i="15"/>
  <c r="H999" i="15"/>
  <c r="U999" i="15"/>
  <c r="M1005" i="15"/>
  <c r="L1005" i="15"/>
  <c r="H1015" i="15"/>
  <c r="U1015" i="15"/>
  <c r="M1027" i="15"/>
  <c r="Q1027" i="15" s="1"/>
  <c r="J1043" i="15"/>
  <c r="M1115" i="15"/>
  <c r="L1115" i="15"/>
  <c r="V1169" i="15"/>
  <c r="V1155" i="15"/>
  <c r="J989" i="15"/>
  <c r="L1045" i="15"/>
  <c r="M1045" i="15"/>
  <c r="M1049" i="15"/>
  <c r="L1049" i="15"/>
  <c r="M1055" i="15"/>
  <c r="L1055" i="15"/>
  <c r="M1153" i="15"/>
  <c r="L1153" i="15"/>
  <c r="U1059" i="15"/>
  <c r="K1059" i="15"/>
  <c r="V1059" i="15"/>
  <c r="M1099" i="15"/>
  <c r="L1099" i="15"/>
  <c r="V1127" i="15"/>
  <c r="V1125" i="15"/>
  <c r="H991" i="15"/>
  <c r="J1005" i="15"/>
  <c r="H1007" i="15"/>
  <c r="V1017" i="15"/>
  <c r="V1029" i="15"/>
  <c r="L1031" i="15"/>
  <c r="Q1031" i="15" s="1"/>
  <c r="U1039" i="15"/>
  <c r="K1039" i="15"/>
  <c r="J1039" i="15"/>
  <c r="H1039" i="15"/>
  <c r="M1101" i="15"/>
  <c r="L1101" i="15"/>
  <c r="V1103" i="15"/>
  <c r="M1107" i="15"/>
  <c r="L1107" i="15"/>
  <c r="V1005" i="15"/>
  <c r="U1021" i="15"/>
  <c r="K1021" i="15"/>
  <c r="H1021" i="15"/>
  <c r="U1031" i="15"/>
  <c r="K1031" i="15"/>
  <c r="J1059" i="15"/>
  <c r="L1117" i="15"/>
  <c r="M1117" i="15"/>
  <c r="V1007" i="15"/>
  <c r="U1047" i="15"/>
  <c r="K1047" i="15"/>
  <c r="V1049" i="15"/>
  <c r="V1065" i="15"/>
  <c r="U1097" i="15"/>
  <c r="K1097" i="15"/>
  <c r="J1097" i="15"/>
  <c r="H1097" i="15"/>
  <c r="W1097" i="15"/>
  <c r="V1163" i="15"/>
  <c r="H1029" i="15"/>
  <c r="U1029" i="15"/>
  <c r="M1051" i="15"/>
  <c r="L1051" i="15"/>
  <c r="M1063" i="15"/>
  <c r="L1063" i="15"/>
  <c r="L1065" i="15"/>
  <c r="M1065" i="15"/>
  <c r="M1097" i="15"/>
  <c r="L1097" i="15"/>
  <c r="H1123" i="15"/>
  <c r="V1123" i="15"/>
  <c r="U1123" i="15"/>
  <c r="K1123" i="15"/>
  <c r="N1123" i="15" s="1"/>
  <c r="J1123" i="15"/>
  <c r="U1153" i="15"/>
  <c r="K1153" i="15"/>
  <c r="N1153" i="15" s="1"/>
  <c r="J1153" i="15"/>
  <c r="H1153" i="15"/>
  <c r="V1153" i="15"/>
  <c r="W1153" i="15"/>
  <c r="H1035" i="15"/>
  <c r="V1045" i="15"/>
  <c r="H1051" i="15"/>
  <c r="H1071" i="15"/>
  <c r="U1071" i="15"/>
  <c r="K1109" i="15"/>
  <c r="N1109" i="15" s="1"/>
  <c r="W1109" i="15"/>
  <c r="J1109" i="15"/>
  <c r="U1109" i="15"/>
  <c r="V1109" i="15"/>
  <c r="K1111" i="15"/>
  <c r="N1111" i="15" s="1"/>
  <c r="M1161" i="15"/>
  <c r="L1161" i="15"/>
  <c r="V1033" i="15"/>
  <c r="K1035" i="15"/>
  <c r="U1035" i="15"/>
  <c r="J1037" i="15"/>
  <c r="K1051" i="15"/>
  <c r="U1051" i="15"/>
  <c r="J1053" i="15"/>
  <c r="J1069" i="15"/>
  <c r="H1069" i="15"/>
  <c r="U1069" i="15"/>
  <c r="V1117" i="15"/>
  <c r="M1129" i="15"/>
  <c r="L1129" i="15"/>
  <c r="V1165" i="15"/>
  <c r="V1035" i="15"/>
  <c r="V1051" i="15"/>
  <c r="M1061" i="15"/>
  <c r="L1061" i="15"/>
  <c r="U1067" i="15"/>
  <c r="K1067" i="15"/>
  <c r="N1067" i="15" s="1"/>
  <c r="J1067" i="15"/>
  <c r="H1067" i="15"/>
  <c r="H1101" i="15"/>
  <c r="W1101" i="15"/>
  <c r="U1101" i="15"/>
  <c r="W1111" i="15"/>
  <c r="V1111" i="15"/>
  <c r="H1111" i="15"/>
  <c r="U1111" i="15"/>
  <c r="L1133" i="15"/>
  <c r="M1133" i="15"/>
  <c r="M1149" i="15"/>
  <c r="L1149" i="15"/>
  <c r="V1167" i="15"/>
  <c r="V1053" i="15"/>
  <c r="H1055" i="15"/>
  <c r="U1055" i="15"/>
  <c r="V1067" i="15"/>
  <c r="K1071" i="15"/>
  <c r="N1071" i="15" s="1"/>
  <c r="M1093" i="15"/>
  <c r="L1093" i="15"/>
  <c r="V1101" i="15"/>
  <c r="H1109" i="15"/>
  <c r="J1121" i="15"/>
  <c r="H1121" i="15"/>
  <c r="W1121" i="15"/>
  <c r="V1121" i="15"/>
  <c r="U1121" i="15"/>
  <c r="V1057" i="15"/>
  <c r="J1061" i="15"/>
  <c r="H1063" i="15"/>
  <c r="J1091" i="15"/>
  <c r="H1093" i="15"/>
  <c r="H1105" i="15"/>
  <c r="J1107" i="15"/>
  <c r="U1119" i="15"/>
  <c r="K1119" i="15"/>
  <c r="J1119" i="15"/>
  <c r="H1119" i="15"/>
  <c r="K1125" i="15"/>
  <c r="N1125" i="15" s="1"/>
  <c r="L1143" i="15"/>
  <c r="Q1143" i="15" s="1"/>
  <c r="M1147" i="15"/>
  <c r="L1147" i="15"/>
  <c r="V1151" i="15"/>
  <c r="M1165" i="15"/>
  <c r="L1165" i="15"/>
  <c r="V1061" i="15"/>
  <c r="K1063" i="15"/>
  <c r="U1063" i="15"/>
  <c r="J1065" i="15"/>
  <c r="U1131" i="15"/>
  <c r="U1115" i="15"/>
  <c r="U1161" i="15"/>
  <c r="K1093" i="15"/>
  <c r="U1093" i="15"/>
  <c r="J1095" i="15"/>
  <c r="U1129" i="15"/>
  <c r="M1131" i="15"/>
  <c r="L1131" i="15"/>
  <c r="V1133" i="15"/>
  <c r="W1143" i="15"/>
  <c r="U1143" i="15"/>
  <c r="K1143" i="15"/>
  <c r="M1145" i="15"/>
  <c r="L1145" i="15"/>
  <c r="J1155" i="15"/>
  <c r="H1155" i="15"/>
  <c r="W1155" i="15"/>
  <c r="V1063" i="15"/>
  <c r="K1065" i="15"/>
  <c r="U1065" i="15"/>
  <c r="W1091" i="15"/>
  <c r="K1095" i="15"/>
  <c r="N1095" i="15" s="1"/>
  <c r="U1095" i="15"/>
  <c r="V1115" i="15"/>
  <c r="H1139" i="15"/>
  <c r="W1139" i="15"/>
  <c r="V1143" i="15"/>
  <c r="V1149" i="15"/>
  <c r="M1159" i="15"/>
  <c r="L1159" i="15"/>
  <c r="M1163" i="15"/>
  <c r="L1163" i="15"/>
  <c r="U1169" i="15"/>
  <c r="K1169" i="15"/>
  <c r="N1169" i="15" s="1"/>
  <c r="J1169" i="15"/>
  <c r="H1169" i="15"/>
  <c r="U1105" i="15"/>
  <c r="H1107" i="15"/>
  <c r="M1113" i="15"/>
  <c r="L1113" i="15"/>
  <c r="W1127" i="15"/>
  <c r="U1135" i="15"/>
  <c r="K1135" i="15"/>
  <c r="J1135" i="15"/>
  <c r="H1135" i="15"/>
  <c r="J1137" i="15"/>
  <c r="H1137" i="15"/>
  <c r="U1137" i="15"/>
  <c r="U1139" i="15"/>
  <c r="U1141" i="15"/>
  <c r="U1157" i="15"/>
  <c r="V1141" i="15"/>
  <c r="L1157" i="15"/>
  <c r="Q1157" i="15" s="1"/>
  <c r="V1157" i="15"/>
  <c r="K1159" i="15"/>
  <c r="N1159" i="15" s="1"/>
  <c r="U1159" i="15"/>
  <c r="V1159" i="15"/>
  <c r="V1113" i="15"/>
  <c r="V1129" i="15"/>
  <c r="J1133" i="15"/>
  <c r="V1145" i="15"/>
  <c r="K1147" i="15"/>
  <c r="U1147" i="15"/>
  <c r="J1149" i="15"/>
  <c r="H1151" i="15"/>
  <c r="W1159" i="15"/>
  <c r="V1161" i="15"/>
  <c r="K1163" i="15"/>
  <c r="U1163" i="15"/>
  <c r="J1165" i="15"/>
  <c r="H1167" i="15"/>
  <c r="W1113" i="15"/>
  <c r="K1117" i="15"/>
  <c r="U1117" i="15"/>
  <c r="W1129" i="15"/>
  <c r="V1131" i="15"/>
  <c r="K1133" i="15"/>
  <c r="U1133" i="15"/>
  <c r="W1145" i="15"/>
  <c r="V1147" i="15"/>
  <c r="K1149" i="15"/>
  <c r="N1149" i="15" s="1"/>
  <c r="U1149" i="15"/>
  <c r="J1151" i="15"/>
  <c r="K1165" i="15"/>
  <c r="N1165" i="15" s="1"/>
  <c r="U1165" i="15"/>
  <c r="J1167" i="15"/>
  <c r="K1151" i="15"/>
  <c r="U1151" i="15"/>
  <c r="K1167" i="15"/>
  <c r="N1167" i="15" s="1"/>
  <c r="U1167" i="15"/>
  <c r="H1157" i="15"/>
  <c r="E55" i="11"/>
  <c r="E53" i="11"/>
  <c r="W790" i="15" l="1"/>
  <c r="W858" i="15"/>
  <c r="W860" i="15"/>
  <c r="W856" i="15"/>
  <c r="W864" i="15"/>
  <c r="W862" i="15"/>
  <c r="D34" i="10"/>
  <c r="D36" i="10"/>
  <c r="D28" i="10"/>
  <c r="D38" i="10"/>
  <c r="D37" i="10"/>
  <c r="D39" i="10"/>
  <c r="T128" i="15"/>
  <c r="T180" i="15"/>
  <c r="T184" i="15"/>
  <c r="T186" i="15"/>
  <c r="T182" i="15"/>
  <c r="T178" i="15"/>
  <c r="S104" i="15"/>
  <c r="S180" i="15"/>
  <c r="S182" i="15"/>
  <c r="S184" i="15"/>
  <c r="S178" i="15"/>
  <c r="S186" i="15"/>
  <c r="AB189" i="15"/>
  <c r="AB191" i="15"/>
  <c r="AB190" i="15"/>
  <c r="T218" i="15"/>
  <c r="G218" i="15" s="1"/>
  <c r="T288" i="15"/>
  <c r="G288" i="15" s="1"/>
  <c r="T290" i="15"/>
  <c r="G290" i="15" s="1"/>
  <c r="T284" i="15"/>
  <c r="G284" i="15" s="1"/>
  <c r="T286" i="15"/>
  <c r="G286" i="15" s="1"/>
  <c r="T292" i="15"/>
  <c r="G292" i="15" s="1"/>
  <c r="S380" i="15"/>
  <c r="S390" i="15"/>
  <c r="S398" i="15"/>
  <c r="S392" i="15"/>
  <c r="S396" i="15"/>
  <c r="S394" i="15"/>
  <c r="T324" i="15"/>
  <c r="T396" i="15"/>
  <c r="T398" i="15"/>
  <c r="T390" i="15"/>
  <c r="T392" i="15"/>
  <c r="T394" i="15"/>
  <c r="AB963" i="15"/>
  <c r="W933" i="15"/>
  <c r="W967" i="15"/>
  <c r="W965" i="15"/>
  <c r="W963" i="15"/>
  <c r="W961" i="15"/>
  <c r="W969" i="15"/>
  <c r="AB967" i="15"/>
  <c r="AB961" i="15"/>
  <c r="Z897" i="15"/>
  <c r="Z963" i="15"/>
  <c r="Z967" i="15"/>
  <c r="Z965" i="15"/>
  <c r="Z961" i="15"/>
  <c r="Z969" i="15"/>
  <c r="AB969" i="15"/>
  <c r="AA885" i="15"/>
  <c r="AA961" i="15"/>
  <c r="AA965" i="15"/>
  <c r="AA967" i="15"/>
  <c r="AA963" i="15"/>
  <c r="AA969" i="15"/>
  <c r="Y921" i="15"/>
  <c r="Y969" i="15"/>
  <c r="Y961" i="15"/>
  <c r="Y967" i="15"/>
  <c r="Y965" i="15"/>
  <c r="Y963" i="15"/>
  <c r="AB965" i="15"/>
  <c r="AA1011" i="15"/>
  <c r="AA1079" i="15"/>
  <c r="AA1081" i="15"/>
  <c r="AA1083" i="15"/>
  <c r="AA1077" i="15"/>
  <c r="AA1075" i="15"/>
  <c r="Y995" i="15"/>
  <c r="Y1077" i="15"/>
  <c r="Y1081" i="15"/>
  <c r="Y1075" i="15"/>
  <c r="Y1079" i="15"/>
  <c r="Y1083" i="15"/>
  <c r="Z999" i="15"/>
  <c r="Z1077" i="15"/>
  <c r="Z1079" i="15"/>
  <c r="Z1075" i="15"/>
  <c r="Z1083" i="15"/>
  <c r="Z1081" i="15"/>
  <c r="X1003" i="15"/>
  <c r="X1075" i="15"/>
  <c r="X1081" i="15"/>
  <c r="X1077" i="15"/>
  <c r="X1079" i="15"/>
  <c r="X1083" i="15"/>
  <c r="W913" i="15"/>
  <c r="W949" i="15"/>
  <c r="T384" i="15"/>
  <c r="S170" i="15"/>
  <c r="AB617" i="15"/>
  <c r="Z939" i="15"/>
  <c r="Z931" i="15"/>
  <c r="V776" i="15"/>
  <c r="W919" i="15"/>
  <c r="T378" i="15"/>
  <c r="T352" i="15"/>
  <c r="T370" i="15"/>
  <c r="T354" i="15"/>
  <c r="T368" i="15"/>
  <c r="X1013" i="15"/>
  <c r="K701" i="15"/>
  <c r="N701" i="15" s="1"/>
  <c r="T366" i="15"/>
  <c r="AB506" i="15"/>
  <c r="T350" i="15"/>
  <c r="T356" i="15"/>
  <c r="T376" i="15"/>
  <c r="AB454" i="15"/>
  <c r="AB490" i="15"/>
  <c r="T374" i="15"/>
  <c r="T380" i="15"/>
  <c r="L700" i="15"/>
  <c r="T372" i="15"/>
  <c r="T348" i="15"/>
  <c r="V780" i="15"/>
  <c r="V782" i="15"/>
  <c r="T240" i="15"/>
  <c r="G240" i="15" s="1"/>
  <c r="T224" i="15"/>
  <c r="G224" i="15" s="1"/>
  <c r="T238" i="15"/>
  <c r="G238" i="15" s="1"/>
  <c r="T254" i="15"/>
  <c r="G254" i="15" s="1"/>
  <c r="T214" i="15"/>
  <c r="G214" i="15" s="1"/>
  <c r="T270" i="15"/>
  <c r="G270" i="15" s="1"/>
  <c r="S156" i="15"/>
  <c r="S130" i="15"/>
  <c r="T272" i="15"/>
  <c r="G272" i="15" s="1"/>
  <c r="S100" i="15"/>
  <c r="S154" i="15"/>
  <c r="AA919" i="15"/>
  <c r="S110" i="15"/>
  <c r="T246" i="15"/>
  <c r="G246" i="15" s="1"/>
  <c r="T206" i="15"/>
  <c r="G206" i="15" s="1"/>
  <c r="S132" i="15"/>
  <c r="T278" i="15"/>
  <c r="G278" i="15" s="1"/>
  <c r="T262" i="15"/>
  <c r="G262" i="15" s="1"/>
  <c r="T256" i="15"/>
  <c r="G256" i="15" s="1"/>
  <c r="T222" i="15"/>
  <c r="G222" i="15" s="1"/>
  <c r="T210" i="15"/>
  <c r="G210" i="15" s="1"/>
  <c r="S172" i="15"/>
  <c r="S98" i="15"/>
  <c r="S126" i="15"/>
  <c r="S168" i="15"/>
  <c r="S152" i="15"/>
  <c r="Q814" i="15"/>
  <c r="S146" i="15"/>
  <c r="S102" i="15"/>
  <c r="S166" i="15"/>
  <c r="S150" i="15"/>
  <c r="S140" i="15"/>
  <c r="S108" i="15"/>
  <c r="S138" i="15"/>
  <c r="S106" i="15"/>
  <c r="S144" i="15"/>
  <c r="S128" i="15"/>
  <c r="S112" i="15"/>
  <c r="S164" i="15"/>
  <c r="S148" i="15"/>
  <c r="Z903" i="15"/>
  <c r="S142" i="15"/>
  <c r="S118" i="15"/>
  <c r="S162" i="15"/>
  <c r="S116" i="15"/>
  <c r="S114" i="15"/>
  <c r="S176" i="15"/>
  <c r="S160" i="15"/>
  <c r="Z949" i="15"/>
  <c r="Y943" i="15"/>
  <c r="Z887" i="15"/>
  <c r="Z907" i="15"/>
  <c r="S134" i="15"/>
  <c r="S174" i="15"/>
  <c r="S158" i="15"/>
  <c r="S124" i="15"/>
  <c r="S122" i="15"/>
  <c r="S136" i="15"/>
  <c r="S120" i="15"/>
  <c r="AA1031" i="15"/>
  <c r="Z947" i="15"/>
  <c r="Z933" i="15"/>
  <c r="Z891" i="15"/>
  <c r="Z923" i="15"/>
  <c r="Z943" i="15"/>
  <c r="R1139" i="15"/>
  <c r="G1139" i="15" s="1"/>
  <c r="AA925" i="15"/>
  <c r="Z927" i="15"/>
  <c r="Z919" i="15"/>
  <c r="Z921" i="15"/>
  <c r="Z929" i="15"/>
  <c r="Z885" i="15"/>
  <c r="Z945" i="15"/>
  <c r="Z909" i="15"/>
  <c r="W844" i="15"/>
  <c r="Z889" i="15"/>
  <c r="T433" i="15"/>
  <c r="T425" i="15"/>
  <c r="Y947" i="15"/>
  <c r="AA911" i="15"/>
  <c r="Y937" i="15"/>
  <c r="Y929" i="15"/>
  <c r="Z893" i="15"/>
  <c r="T358" i="15"/>
  <c r="R919" i="15"/>
  <c r="G919" i="15" s="1"/>
  <c r="T431" i="15"/>
  <c r="X1033" i="15"/>
  <c r="X1041" i="15"/>
  <c r="X995" i="15"/>
  <c r="X1029" i="15"/>
  <c r="X997" i="15"/>
  <c r="X1061" i="15"/>
  <c r="X1025" i="15"/>
  <c r="X1043" i="15"/>
  <c r="T140" i="15"/>
  <c r="T346" i="15"/>
  <c r="T156" i="15"/>
  <c r="T388" i="15"/>
  <c r="T100" i="15"/>
  <c r="S358" i="15"/>
  <c r="S346" i="15"/>
  <c r="Y907" i="15"/>
  <c r="AA1035" i="15"/>
  <c r="AA991" i="15"/>
  <c r="Y999" i="15"/>
  <c r="Y1003" i="15"/>
  <c r="AB947" i="15"/>
  <c r="Y919" i="15"/>
  <c r="AB957" i="15"/>
  <c r="AB925" i="15"/>
  <c r="AB895" i="15"/>
  <c r="Y923" i="15"/>
  <c r="Y893" i="15"/>
  <c r="S366" i="15"/>
  <c r="T429" i="15"/>
  <c r="T172" i="15"/>
  <c r="T152" i="15"/>
  <c r="T124" i="15"/>
  <c r="T108" i="15"/>
  <c r="S386" i="15"/>
  <c r="T106" i="15"/>
  <c r="W822" i="15"/>
  <c r="T112" i="15"/>
  <c r="S382" i="15"/>
  <c r="AA1069" i="15"/>
  <c r="AA989" i="15"/>
  <c r="Y989" i="15"/>
  <c r="AA1043" i="15"/>
  <c r="AA1019" i="15"/>
  <c r="AA995" i="15"/>
  <c r="T170" i="15"/>
  <c r="T150" i="15"/>
  <c r="AA1041" i="15"/>
  <c r="T154" i="15"/>
  <c r="AA1063" i="15"/>
  <c r="AA1021" i="15"/>
  <c r="Z1015" i="15"/>
  <c r="AA999" i="15"/>
  <c r="Y959" i="15"/>
  <c r="Y949" i="15"/>
  <c r="Y903" i="15"/>
  <c r="AB939" i="15"/>
  <c r="T168" i="15"/>
  <c r="T148" i="15"/>
  <c r="Y953" i="15"/>
  <c r="Y987" i="15"/>
  <c r="Y945" i="15"/>
  <c r="AB921" i="15"/>
  <c r="AA1025" i="15"/>
  <c r="Y905" i="15"/>
  <c r="AA1067" i="15"/>
  <c r="Y1039" i="15"/>
  <c r="Y1041" i="15"/>
  <c r="AA1027" i="15"/>
  <c r="Y1011" i="15"/>
  <c r="Y917" i="15"/>
  <c r="S374" i="15"/>
  <c r="T166" i="15"/>
  <c r="T132" i="15"/>
  <c r="AA1055" i="15"/>
  <c r="AA1071" i="15"/>
  <c r="AA1015" i="15"/>
  <c r="AA997" i="15"/>
  <c r="AA1013" i="15"/>
  <c r="Y901" i="15"/>
  <c r="Y1013" i="15"/>
  <c r="S447" i="15"/>
  <c r="S352" i="15"/>
  <c r="T136" i="15"/>
  <c r="T164" i="15"/>
  <c r="T120" i="15"/>
  <c r="G120" i="15" s="1"/>
  <c r="AA1051" i="15"/>
  <c r="AA1039" i="15"/>
  <c r="AA1007" i="15"/>
  <c r="S350" i="15"/>
  <c r="T162" i="15"/>
  <c r="N45" i="15"/>
  <c r="N124" i="15"/>
  <c r="K748" i="15"/>
  <c r="K749" i="15" s="1"/>
  <c r="AA951" i="15"/>
  <c r="Y1071" i="15"/>
  <c r="S441" i="15"/>
  <c r="G441" i="15" s="1"/>
  <c r="N360" i="15"/>
  <c r="AB955" i="15"/>
  <c r="AA907" i="15"/>
  <c r="AA909" i="15"/>
  <c r="AB915" i="15"/>
  <c r="X1021" i="15"/>
  <c r="X1057" i="15"/>
  <c r="X1071" i="15"/>
  <c r="X1047" i="15"/>
  <c r="Y1031" i="15"/>
  <c r="AB953" i="15"/>
  <c r="X1027" i="15"/>
  <c r="Y1019" i="15"/>
  <c r="AB913" i="15"/>
  <c r="X1005" i="15"/>
  <c r="Z995" i="15"/>
  <c r="AB451" i="15"/>
  <c r="T176" i="15"/>
  <c r="T160" i="15"/>
  <c r="T114" i="15"/>
  <c r="AA941" i="15"/>
  <c r="AB931" i="15"/>
  <c r="X1019" i="15"/>
  <c r="AA927" i="15"/>
  <c r="S372" i="15"/>
  <c r="Y1057" i="15"/>
  <c r="Y1055" i="15"/>
  <c r="X1045" i="15"/>
  <c r="Y1047" i="15"/>
  <c r="X1059" i="15"/>
  <c r="W957" i="15"/>
  <c r="W935" i="15"/>
  <c r="Y1027" i="15"/>
  <c r="AB929" i="15"/>
  <c r="R997" i="15"/>
  <c r="G997" i="15" s="1"/>
  <c r="AA895" i="15"/>
  <c r="AA949" i="15"/>
  <c r="W943" i="15"/>
  <c r="AA903" i="15"/>
  <c r="AA921" i="15"/>
  <c r="AB937" i="15"/>
  <c r="S378" i="15"/>
  <c r="S370" i="15"/>
  <c r="T174" i="15"/>
  <c r="T158" i="15"/>
  <c r="T116" i="15"/>
  <c r="AB933" i="15"/>
  <c r="X1023" i="15"/>
  <c r="AA943" i="15"/>
  <c r="S362" i="15"/>
  <c r="Y1043" i="15"/>
  <c r="AA933" i="15"/>
  <c r="Z1055" i="15"/>
  <c r="Y1067" i="15"/>
  <c r="X1069" i="15"/>
  <c r="Y1059" i="15"/>
  <c r="Z993" i="15"/>
  <c r="AA957" i="15"/>
  <c r="AB945" i="15"/>
  <c r="X987" i="15"/>
  <c r="AB949" i="15"/>
  <c r="AA935" i="15"/>
  <c r="AB927" i="15"/>
  <c r="Z989" i="15"/>
  <c r="AA905" i="15"/>
  <c r="AA891" i="15"/>
  <c r="AB959" i="15"/>
  <c r="W889" i="15"/>
  <c r="S354" i="15"/>
  <c r="S376" i="15"/>
  <c r="S368" i="15"/>
  <c r="S356" i="15"/>
  <c r="S364" i="15"/>
  <c r="Y1015" i="15"/>
  <c r="Y1025" i="15"/>
  <c r="Z1019" i="15"/>
  <c r="AA929" i="15"/>
  <c r="AB923" i="15"/>
  <c r="AB951" i="15"/>
  <c r="AA887" i="15"/>
  <c r="AB917" i="15"/>
  <c r="AB935" i="15"/>
  <c r="AB905" i="15"/>
  <c r="AB504" i="15"/>
  <c r="S388" i="15"/>
  <c r="S348" i="15"/>
  <c r="L676" i="15"/>
  <c r="K677" i="15"/>
  <c r="N677" i="15" s="1"/>
  <c r="N148" i="15"/>
  <c r="N372" i="15"/>
  <c r="N150" i="15"/>
  <c r="N376" i="15"/>
  <c r="R639" i="15"/>
  <c r="G639" i="15" s="1"/>
  <c r="K678" i="15"/>
  <c r="L678" i="15" s="1"/>
  <c r="N312" i="15"/>
  <c r="M687" i="15"/>
  <c r="Q687" i="15" s="1"/>
  <c r="L693" i="15"/>
  <c r="N693" i="15" s="1"/>
  <c r="Q931" i="15"/>
  <c r="K724" i="15"/>
  <c r="K725" i="15" s="1"/>
  <c r="Q1017" i="15"/>
  <c r="Q1151" i="15"/>
  <c r="Q800" i="15"/>
  <c r="Q945" i="15"/>
  <c r="AB128" i="15"/>
  <c r="N47" i="15"/>
  <c r="K732" i="15"/>
  <c r="K733" i="15" s="1"/>
  <c r="AB136" i="15"/>
  <c r="R947" i="15"/>
  <c r="G947" i="15" s="1"/>
  <c r="L692" i="15"/>
  <c r="R583" i="15"/>
  <c r="G583" i="15" s="1"/>
  <c r="K746" i="15"/>
  <c r="L746" i="15" s="1"/>
  <c r="R623" i="15"/>
  <c r="G623" i="15" s="1"/>
  <c r="M707" i="15"/>
  <c r="Q707" i="15" s="1"/>
  <c r="N122" i="15"/>
  <c r="L705" i="15"/>
  <c r="N705" i="15" s="1"/>
  <c r="K699" i="15"/>
  <c r="AB132" i="15"/>
  <c r="Q1057" i="15"/>
  <c r="Q891" i="15"/>
  <c r="L704" i="15"/>
  <c r="K730" i="15"/>
  <c r="K731" i="15" s="1"/>
  <c r="L699" i="15"/>
  <c r="K727" i="15"/>
  <c r="M671" i="15"/>
  <c r="Q671" i="15" s="1"/>
  <c r="R514" i="15"/>
  <c r="G514" i="15" s="1"/>
  <c r="M677" i="15"/>
  <c r="Q677" i="15" s="1"/>
  <c r="L727" i="15"/>
  <c r="R782" i="15"/>
  <c r="G782" i="15" s="1"/>
  <c r="AB492" i="15"/>
  <c r="R1033" i="15"/>
  <c r="G1033" i="15" s="1"/>
  <c r="Q1127" i="15"/>
  <c r="Q844" i="15"/>
  <c r="Q780" i="15"/>
  <c r="R1091" i="15"/>
  <c r="G1091" i="15" s="1"/>
  <c r="R1137" i="15"/>
  <c r="G1137" i="15" s="1"/>
  <c r="AA923" i="15"/>
  <c r="AB899" i="15"/>
  <c r="AB907" i="15"/>
  <c r="Z1071" i="15"/>
  <c r="Z1029" i="15"/>
  <c r="Z1013" i="15"/>
  <c r="Z1011" i="15"/>
  <c r="Z1069" i="15"/>
  <c r="Z1053" i="15"/>
  <c r="Z1009" i="15"/>
  <c r="Z1025" i="15"/>
  <c r="Z1003" i="15"/>
  <c r="Z1027" i="15"/>
  <c r="Z1023" i="15"/>
  <c r="Z1065" i="15"/>
  <c r="Z1041" i="15"/>
  <c r="Z1017" i="15"/>
  <c r="Z1045" i="15"/>
  <c r="Z1021" i="15"/>
  <c r="Z1043" i="15"/>
  <c r="Z987" i="15"/>
  <c r="Z1057" i="15"/>
  <c r="Z1039" i="15"/>
  <c r="Z1059" i="15"/>
  <c r="T443" i="15"/>
  <c r="T447" i="15"/>
  <c r="T449" i="15"/>
  <c r="G449" i="15" s="1"/>
  <c r="T445" i="15"/>
  <c r="T314" i="15"/>
  <c r="T320" i="15"/>
  <c r="Q1063" i="15"/>
  <c r="R1013" i="15"/>
  <c r="G1013" i="15" s="1"/>
  <c r="Q846" i="15"/>
  <c r="Q534" i="15"/>
  <c r="Q617" i="15"/>
  <c r="R812" i="15"/>
  <c r="G812" i="15" s="1"/>
  <c r="Q907" i="15"/>
  <c r="Q623" i="15"/>
  <c r="Q1007" i="15"/>
  <c r="R846" i="15"/>
  <c r="R905" i="15"/>
  <c r="G905" i="15" s="1"/>
  <c r="R643" i="15"/>
  <c r="G643" i="15" s="1"/>
  <c r="R512" i="15"/>
  <c r="G512" i="15" s="1"/>
  <c r="N116" i="15"/>
  <c r="Q569" i="15"/>
  <c r="R931" i="15"/>
  <c r="G931" i="15" s="1"/>
  <c r="N75" i="15"/>
  <c r="Q611" i="15"/>
  <c r="N67" i="15"/>
  <c r="G1103" i="15"/>
  <c r="R901" i="15"/>
  <c r="G901" i="15" s="1"/>
  <c r="R534" i="15"/>
  <c r="R780" i="15"/>
  <c r="G780" i="15" s="1"/>
  <c r="R844" i="15"/>
  <c r="G844" i="15" s="1"/>
  <c r="N114" i="15"/>
  <c r="R1109" i="15"/>
  <c r="G1109" i="15" s="1"/>
  <c r="L736" i="15"/>
  <c r="R480" i="15"/>
  <c r="G480" i="15" s="1"/>
  <c r="N65" i="15"/>
  <c r="N433" i="15"/>
  <c r="N324" i="15"/>
  <c r="N174" i="15"/>
  <c r="Q1037" i="15"/>
  <c r="Q1103" i="15"/>
  <c r="L722" i="15"/>
  <c r="K737" i="15"/>
  <c r="N737" i="15" s="1"/>
  <c r="Q631" i="15"/>
  <c r="N140" i="15"/>
  <c r="L719" i="15"/>
  <c r="R510" i="15"/>
  <c r="G510" i="15" s="1"/>
  <c r="N364" i="15"/>
  <c r="N49" i="15"/>
  <c r="N166" i="15"/>
  <c r="M685" i="15"/>
  <c r="Q685" i="15" s="1"/>
  <c r="K723" i="15"/>
  <c r="N723" i="15" s="1"/>
  <c r="R993" i="15"/>
  <c r="K719" i="15"/>
  <c r="L339" i="15"/>
  <c r="L340" i="15" s="1"/>
  <c r="N340" i="15" s="1"/>
  <c r="N352" i="15"/>
  <c r="Q987" i="15"/>
  <c r="N146" i="15"/>
  <c r="Q1047" i="15"/>
  <c r="Q1053" i="15"/>
  <c r="Q492" i="15"/>
  <c r="Q1159" i="15"/>
  <c r="Q816" i="15"/>
  <c r="Q607" i="15"/>
  <c r="N449" i="15"/>
  <c r="Q1125" i="15"/>
  <c r="Q1167" i="15"/>
  <c r="Q542" i="15"/>
  <c r="Q1035" i="15"/>
  <c r="R1115" i="15"/>
  <c r="G1115" i="15" s="1"/>
  <c r="R887" i="15"/>
  <c r="G887" i="15" s="1"/>
  <c r="Q903" i="15"/>
  <c r="Q929" i="15"/>
  <c r="Q848" i="15"/>
  <c r="Q812" i="15"/>
  <c r="R796" i="15"/>
  <c r="G796" i="15" s="1"/>
  <c r="Q641" i="15"/>
  <c r="Q585" i="15"/>
  <c r="R627" i="15"/>
  <c r="Q619" i="15"/>
  <c r="R520" i="15"/>
  <c r="G520" i="15" s="1"/>
  <c r="Q490" i="15"/>
  <c r="R544" i="15"/>
  <c r="Q532" i="15"/>
  <c r="R518" i="15"/>
  <c r="G518" i="15" s="1"/>
  <c r="N176" i="15"/>
  <c r="N138" i="15"/>
  <c r="N130" i="15"/>
  <c r="N61" i="15"/>
  <c r="R1025" i="15"/>
  <c r="G1025" i="15" s="1"/>
  <c r="R1131" i="15"/>
  <c r="G1131" i="15" s="1"/>
  <c r="R1073" i="15"/>
  <c r="G1073" i="15" s="1"/>
  <c r="R631" i="15"/>
  <c r="R1015" i="15"/>
  <c r="G1015" i="15" s="1"/>
  <c r="N98" i="15"/>
  <c r="Q613" i="15"/>
  <c r="L745" i="15"/>
  <c r="N745" i="15" s="1"/>
  <c r="R828" i="15"/>
  <c r="N126" i="15"/>
  <c r="R1141" i="15"/>
  <c r="G1141" i="15" s="1"/>
  <c r="Q1019" i="15"/>
  <c r="R492" i="15"/>
  <c r="G492" i="15" s="1"/>
  <c r="R599" i="15"/>
  <c r="G599" i="15" s="1"/>
  <c r="N106" i="15"/>
  <c r="R1121" i="15"/>
  <c r="G1121" i="15" s="1"/>
  <c r="L713" i="15"/>
  <c r="R814" i="15"/>
  <c r="G814" i="15" s="1"/>
  <c r="R524" i="15"/>
  <c r="Q824" i="15"/>
  <c r="Q486" i="15"/>
  <c r="Q516" i="15"/>
  <c r="Q1105" i="15"/>
  <c r="Q1137" i="15"/>
  <c r="Q947" i="15"/>
  <c r="N168" i="15"/>
  <c r="N164" i="15"/>
  <c r="N132" i="15"/>
  <c r="R472" i="15"/>
  <c r="G472" i="15" s="1"/>
  <c r="R1053" i="15"/>
  <c r="M703" i="15"/>
  <c r="Q703" i="15" s="1"/>
  <c r="G516" i="15"/>
  <c r="N77" i="15"/>
  <c r="R927" i="15"/>
  <c r="G927" i="15" s="1"/>
  <c r="L744" i="15"/>
  <c r="M695" i="15"/>
  <c r="Q695" i="15" s="1"/>
  <c r="R581" i="15"/>
  <c r="G581" i="15" s="1"/>
  <c r="AB130" i="15"/>
  <c r="N158" i="15"/>
  <c r="Q897" i="15"/>
  <c r="N739" i="15"/>
  <c r="Q790" i="15"/>
  <c r="Q575" i="15"/>
  <c r="G61" i="15"/>
  <c r="Q1169" i="15"/>
  <c r="R1043" i="15"/>
  <c r="G1043" i="15" s="1"/>
  <c r="R991" i="15"/>
  <c r="G991" i="15" s="1"/>
  <c r="Q832" i="15"/>
  <c r="M745" i="15"/>
  <c r="Q745" i="15" s="1"/>
  <c r="R798" i="15"/>
  <c r="G798" i="15" s="1"/>
  <c r="Q788" i="15"/>
  <c r="Q627" i="15"/>
  <c r="L715" i="15"/>
  <c r="L714" i="15"/>
  <c r="K715" i="15"/>
  <c r="R1157" i="15"/>
  <c r="G1157" i="15" s="1"/>
  <c r="R917" i="15"/>
  <c r="G917" i="15" s="1"/>
  <c r="M729" i="15"/>
  <c r="Q729" i="15" s="1"/>
  <c r="R508" i="15"/>
  <c r="G508" i="15" s="1"/>
  <c r="M715" i="15"/>
  <c r="Q715" i="15" s="1"/>
  <c r="R1037" i="15"/>
  <c r="G1037" i="15" s="1"/>
  <c r="Q1045" i="15"/>
  <c r="R949" i="15"/>
  <c r="Q796" i="15"/>
  <c r="R490" i="15"/>
  <c r="G490" i="15" s="1"/>
  <c r="R470" i="15"/>
  <c r="G470" i="15" s="1"/>
  <c r="L383" i="15"/>
  <c r="L384" i="15" s="1"/>
  <c r="N384" i="15" s="1"/>
  <c r="Q510" i="15"/>
  <c r="R1127" i="15"/>
  <c r="G1127" i="15" s="1"/>
  <c r="N81" i="15"/>
  <c r="R1071" i="15"/>
  <c r="G1071" i="15" s="1"/>
  <c r="L691" i="15"/>
  <c r="R528" i="15"/>
  <c r="G528" i="15" s="1"/>
  <c r="R526" i="15"/>
  <c r="G526" i="15" s="1"/>
  <c r="L686" i="15"/>
  <c r="R1099" i="15"/>
  <c r="G1099" i="15" s="1"/>
  <c r="R933" i="15"/>
  <c r="G933" i="15" s="1"/>
  <c r="Q913" i="15"/>
  <c r="Q820" i="15"/>
  <c r="R830" i="15"/>
  <c r="G830" i="15" s="1"/>
  <c r="R1017" i="15"/>
  <c r="G1017" i="15" s="1"/>
  <c r="Q1051" i="15"/>
  <c r="R1007" i="15"/>
  <c r="G1007" i="15" s="1"/>
  <c r="R913" i="15"/>
  <c r="G913" i="15" s="1"/>
  <c r="R806" i="15"/>
  <c r="G806" i="15" s="1"/>
  <c r="Q810" i="15"/>
  <c r="R542" i="15"/>
  <c r="G542" i="15" s="1"/>
  <c r="R645" i="15"/>
  <c r="G645" i="15" s="1"/>
  <c r="Q1119" i="15"/>
  <c r="G985" i="15"/>
  <c r="R945" i="15"/>
  <c r="G945" i="15" s="1"/>
  <c r="R881" i="15"/>
  <c r="G881" i="15" s="1"/>
  <c r="R601" i="15"/>
  <c r="G601" i="15" s="1"/>
  <c r="N425" i="15"/>
  <c r="Q474" i="15"/>
  <c r="Q1025" i="15"/>
  <c r="Q953" i="15"/>
  <c r="K691" i="15"/>
  <c r="Q639" i="15"/>
  <c r="N447" i="15"/>
  <c r="Q520" i="15"/>
  <c r="G81" i="15"/>
  <c r="Q1121" i="15"/>
  <c r="R895" i="15"/>
  <c r="G895" i="15" s="1"/>
  <c r="R1055" i="15"/>
  <c r="G1055" i="15" s="1"/>
  <c r="K695" i="15"/>
  <c r="N695" i="15" s="1"/>
  <c r="R603" i="15"/>
  <c r="G603" i="15" s="1"/>
  <c r="R587" i="15"/>
  <c r="G587" i="15" s="1"/>
  <c r="G63" i="15"/>
  <c r="G47" i="15"/>
  <c r="L361" i="15"/>
  <c r="L362" i="15" s="1"/>
  <c r="N362" i="15" s="1"/>
  <c r="N310" i="15"/>
  <c r="Q883" i="15"/>
  <c r="K674" i="15"/>
  <c r="M675" i="15"/>
  <c r="Q675" i="15" s="1"/>
  <c r="Q1011" i="15"/>
  <c r="Q633" i="15"/>
  <c r="Q1095" i="15"/>
  <c r="L315" i="15"/>
  <c r="L316" i="15" s="1"/>
  <c r="N316" i="15" s="1"/>
  <c r="R1069" i="15"/>
  <c r="G1069" i="15" s="1"/>
  <c r="R1149" i="15"/>
  <c r="G1149" i="15" s="1"/>
  <c r="R1045" i="15"/>
  <c r="G1045" i="15" s="1"/>
  <c r="Q937" i="15"/>
  <c r="R1041" i="15"/>
  <c r="G1041" i="15" s="1"/>
  <c r="Q911" i="15"/>
  <c r="R776" i="15"/>
  <c r="G776" i="15" s="1"/>
  <c r="R893" i="15"/>
  <c r="G893" i="15" s="1"/>
  <c r="K713" i="15"/>
  <c r="Q792" i="15"/>
  <c r="L729" i="15"/>
  <c r="Q828" i="15"/>
  <c r="N160" i="15"/>
  <c r="R848" i="15"/>
  <c r="N108" i="15"/>
  <c r="R1165" i="15"/>
  <c r="G1165" i="15" s="1"/>
  <c r="Q1043" i="15"/>
  <c r="Q1073" i="15"/>
  <c r="R907" i="15"/>
  <c r="G907" i="15" s="1"/>
  <c r="R889" i="15"/>
  <c r="G889" i="15" s="1"/>
  <c r="R816" i="15"/>
  <c r="G816" i="15" s="1"/>
  <c r="R794" i="15"/>
  <c r="G794" i="15" s="1"/>
  <c r="G407" i="15"/>
  <c r="Q834" i="15"/>
  <c r="R530" i="15"/>
  <c r="G530" i="15" s="1"/>
  <c r="R488" i="15"/>
  <c r="G488" i="15" s="1"/>
  <c r="Q595" i="15"/>
  <c r="N358" i="15"/>
  <c r="G1057" i="15"/>
  <c r="L685" i="15"/>
  <c r="N685" i="15" s="1"/>
  <c r="L684" i="15"/>
  <c r="Q1147" i="15"/>
  <c r="Q1149" i="15"/>
  <c r="R1153" i="15"/>
  <c r="G1153" i="15" s="1"/>
  <c r="Q1107" i="15"/>
  <c r="Q909" i="15"/>
  <c r="L721" i="15"/>
  <c r="R826" i="15"/>
  <c r="G826" i="15" s="1"/>
  <c r="G615" i="15"/>
  <c r="N128" i="15"/>
  <c r="N104" i="15"/>
  <c r="N314" i="15"/>
  <c r="N142" i="15"/>
  <c r="L365" i="15"/>
  <c r="L366" i="15" s="1"/>
  <c r="N170" i="15"/>
  <c r="Q889" i="15"/>
  <c r="Q927" i="15"/>
  <c r="L347" i="15"/>
  <c r="L348" i="15" s="1"/>
  <c r="N348" i="15" s="1"/>
  <c r="Q1141" i="15"/>
  <c r="Q921" i="15"/>
  <c r="G532" i="15"/>
  <c r="Q782" i="15"/>
  <c r="Q599" i="15"/>
  <c r="Q528" i="15"/>
  <c r="Q468" i="15"/>
  <c r="Q518" i="15"/>
  <c r="N156" i="15"/>
  <c r="N445" i="15"/>
  <c r="N100" i="15"/>
  <c r="R1061" i="15"/>
  <c r="G1061" i="15" s="1"/>
  <c r="Q1099" i="15"/>
  <c r="R1023" i="15"/>
  <c r="G1023" i="15" s="1"/>
  <c r="Q1013" i="15"/>
  <c r="R915" i="15"/>
  <c r="G915" i="15" s="1"/>
  <c r="R850" i="15"/>
  <c r="G850" i="15" s="1"/>
  <c r="Q935" i="15"/>
  <c r="L728" i="15"/>
  <c r="R595" i="15"/>
  <c r="G595" i="15" s="1"/>
  <c r="N112" i="15"/>
  <c r="N51" i="15"/>
  <c r="Q1155" i="15"/>
  <c r="Q838" i="15"/>
  <c r="Q1163" i="15"/>
  <c r="Q1093" i="15"/>
  <c r="Q901" i="15"/>
  <c r="L706" i="15"/>
  <c r="R474" i="15"/>
  <c r="Q506" i="15"/>
  <c r="Q591" i="15"/>
  <c r="L385" i="15"/>
  <c r="L386" i="15" s="1"/>
  <c r="N386" i="15" s="1"/>
  <c r="R478" i="15"/>
  <c r="G478" i="15" s="1"/>
  <c r="Q579" i="15"/>
  <c r="R1155" i="15"/>
  <c r="G1155" i="15" s="1"/>
  <c r="N162" i="15"/>
  <c r="N172" i="15"/>
  <c r="N431" i="15"/>
  <c r="N152" i="15"/>
  <c r="Q635" i="15"/>
  <c r="R1001" i="15"/>
  <c r="G1001" i="15" s="1"/>
  <c r="Q1015" i="15"/>
  <c r="Q637" i="15"/>
  <c r="N1163" i="15"/>
  <c r="R1095" i="15"/>
  <c r="G1095" i="15" s="1"/>
  <c r="N1059" i="15"/>
  <c r="R1059" i="15"/>
  <c r="G1059" i="15" s="1"/>
  <c r="R1067" i="15"/>
  <c r="G1067" i="15" s="1"/>
  <c r="Q1115" i="15"/>
  <c r="Q1033" i="15"/>
  <c r="Q939" i="15"/>
  <c r="R939" i="15"/>
  <c r="G939" i="15" s="1"/>
  <c r="N635" i="15"/>
  <c r="R635" i="15"/>
  <c r="G635" i="15" s="1"/>
  <c r="W980" i="15"/>
  <c r="W852" i="15"/>
  <c r="W840" i="15"/>
  <c r="W818" i="15"/>
  <c r="W802" i="15"/>
  <c r="W786" i="15"/>
  <c r="W854" i="15"/>
  <c r="W834" i="15"/>
  <c r="W812" i="15"/>
  <c r="W780" i="15"/>
  <c r="W776" i="15"/>
  <c r="W808" i="15"/>
  <c r="W792" i="15"/>
  <c r="W824" i="15"/>
  <c r="W796" i="15"/>
  <c r="W828" i="15"/>
  <c r="W778" i="15"/>
  <c r="W806" i="15"/>
  <c r="W836" i="15"/>
  <c r="W782" i="15"/>
  <c r="W826" i="15"/>
  <c r="W784" i="15"/>
  <c r="W846" i="15"/>
  <c r="W800" i="15"/>
  <c r="W830" i="15"/>
  <c r="W832" i="15"/>
  <c r="W838" i="15"/>
  <c r="W848" i="15"/>
  <c r="W850" i="15"/>
  <c r="W814" i="15"/>
  <c r="W842" i="15"/>
  <c r="W816" i="15"/>
  <c r="W798" i="15"/>
  <c r="W810" i="15"/>
  <c r="W788" i="15"/>
  <c r="W804" i="15"/>
  <c r="W820" i="15"/>
  <c r="W794" i="15"/>
  <c r="N322" i="15"/>
  <c r="S431" i="15"/>
  <c r="S433" i="15"/>
  <c r="S427" i="15"/>
  <c r="G427" i="15" s="1"/>
  <c r="S425" i="15"/>
  <c r="S429" i="15"/>
  <c r="N1117" i="15"/>
  <c r="N1093" i="15"/>
  <c r="R1093" i="15"/>
  <c r="G1093" i="15" s="1"/>
  <c r="N1063" i="15"/>
  <c r="R1063" i="15"/>
  <c r="Q1061" i="15"/>
  <c r="Q1055" i="15"/>
  <c r="Q955" i="15"/>
  <c r="N1003" i="15"/>
  <c r="R1003" i="15"/>
  <c r="G1003" i="15" s="1"/>
  <c r="Q786" i="15"/>
  <c r="R786" i="15"/>
  <c r="G786" i="15" s="1"/>
  <c r="R571" i="15"/>
  <c r="G571" i="15" s="1"/>
  <c r="Q522" i="15"/>
  <c r="R522" i="15"/>
  <c r="G522" i="15" s="1"/>
  <c r="N328" i="15"/>
  <c r="N320" i="15"/>
  <c r="N244" i="15"/>
  <c r="R1035" i="15"/>
  <c r="G1035" i="15" s="1"/>
  <c r="N1035" i="15"/>
  <c r="Q1117" i="15"/>
  <c r="N1039" i="15"/>
  <c r="R1039" i="15"/>
  <c r="G1039" i="15" s="1"/>
  <c r="Q1049" i="15"/>
  <c r="N909" i="15"/>
  <c r="R909" i="15"/>
  <c r="N1019" i="15"/>
  <c r="R1019" i="15"/>
  <c r="G1019" i="15" s="1"/>
  <c r="N899" i="15"/>
  <c r="R899" i="15"/>
  <c r="G899" i="15" s="1"/>
  <c r="Q999" i="15"/>
  <c r="R999" i="15"/>
  <c r="G999" i="15" s="1"/>
  <c r="Q625" i="15"/>
  <c r="R625" i="15"/>
  <c r="G625" i="15" s="1"/>
  <c r="K378" i="15"/>
  <c r="L377" i="15"/>
  <c r="L378" i="15" s="1"/>
  <c r="N346" i="15"/>
  <c r="R1119" i="15"/>
  <c r="G1119" i="15" s="1"/>
  <c r="N1119" i="15"/>
  <c r="N953" i="15"/>
  <c r="R953" i="15"/>
  <c r="G953" i="15" s="1"/>
  <c r="R1133" i="15"/>
  <c r="G1133" i="15" s="1"/>
  <c r="N1133" i="15"/>
  <c r="Q1113" i="15"/>
  <c r="Q1145" i="15"/>
  <c r="Q1165" i="15"/>
  <c r="Q1065" i="15"/>
  <c r="R1113" i="15"/>
  <c r="G1113" i="15" s="1"/>
  <c r="R937" i="15"/>
  <c r="G937" i="15" s="1"/>
  <c r="N937" i="15"/>
  <c r="Q941" i="15"/>
  <c r="R941" i="15"/>
  <c r="G941" i="15" s="1"/>
  <c r="R838" i="15"/>
  <c r="N838" i="15"/>
  <c r="R540" i="15"/>
  <c r="G540" i="15" s="1"/>
  <c r="Q536" i="15"/>
  <c r="R536" i="15"/>
  <c r="G536" i="15" s="1"/>
  <c r="N1147" i="15"/>
  <c r="N1135" i="15"/>
  <c r="R1135" i="15"/>
  <c r="G1135" i="15" s="1"/>
  <c r="R1117" i="15"/>
  <c r="G1117" i="15" s="1"/>
  <c r="R1051" i="15"/>
  <c r="G1051" i="15" s="1"/>
  <c r="N1051" i="15"/>
  <c r="Q1161" i="15"/>
  <c r="R1161" i="15"/>
  <c r="G1161" i="15" s="1"/>
  <c r="N1047" i="15"/>
  <c r="R1047" i="15"/>
  <c r="G1047" i="15" s="1"/>
  <c r="R1169" i="15"/>
  <c r="G1169" i="15" s="1"/>
  <c r="Q1153" i="15"/>
  <c r="Q1091" i="15"/>
  <c r="Q957" i="15"/>
  <c r="R957" i="15"/>
  <c r="G957" i="15" s="1"/>
  <c r="R1147" i="15"/>
  <c r="G1147" i="15" s="1"/>
  <c r="N1151" i="15"/>
  <c r="R1151" i="15"/>
  <c r="G1151" i="15" s="1"/>
  <c r="N1065" i="15"/>
  <c r="R1065" i="15"/>
  <c r="G1065" i="15" s="1"/>
  <c r="R1159" i="15"/>
  <c r="G1159" i="15" s="1"/>
  <c r="Q1133" i="15"/>
  <c r="R1111" i="15"/>
  <c r="G1111" i="15" s="1"/>
  <c r="R1031" i="15"/>
  <c r="G1031" i="15" s="1"/>
  <c r="N1031" i="15"/>
  <c r="N1021" i="15"/>
  <c r="R1021" i="15"/>
  <c r="G1021" i="15" s="1"/>
  <c r="R1145" i="15"/>
  <c r="G1145" i="15" s="1"/>
  <c r="N987" i="15"/>
  <c r="R987" i="15"/>
  <c r="G987" i="15" s="1"/>
  <c r="R1049" i="15"/>
  <c r="G1049" i="15" s="1"/>
  <c r="N935" i="15"/>
  <c r="R935" i="15"/>
  <c r="G935" i="15" s="1"/>
  <c r="N951" i="15"/>
  <c r="R951" i="15"/>
  <c r="G951" i="15" s="1"/>
  <c r="R929" i="15"/>
  <c r="G929" i="15" s="1"/>
  <c r="N842" i="15"/>
  <c r="R842" i="15"/>
  <c r="G842" i="15" s="1"/>
  <c r="N468" i="15"/>
  <c r="R468" i="15" s="1"/>
  <c r="G468" i="15" s="1"/>
  <c r="W955" i="15"/>
  <c r="W939" i="15"/>
  <c r="W947" i="15"/>
  <c r="W911" i="15"/>
  <c r="W959" i="15"/>
  <c r="W951" i="15"/>
  <c r="W915" i="15"/>
  <c r="W937" i="15"/>
  <c r="W909" i="15"/>
  <c r="W881" i="15"/>
  <c r="W927" i="15"/>
  <c r="W895" i="15"/>
  <c r="W945" i="15"/>
  <c r="W929" i="15"/>
  <c r="W887" i="15"/>
  <c r="W931" i="15"/>
  <c r="W899" i="15"/>
  <c r="W883" i="15"/>
  <c r="W921" i="15"/>
  <c r="W891" i="15"/>
  <c r="W923" i="15"/>
  <c r="W953" i="15"/>
  <c r="W905" i="15"/>
  <c r="W885" i="15"/>
  <c r="AB891" i="15"/>
  <c r="AB919" i="15"/>
  <c r="W901" i="15"/>
  <c r="W941" i="15"/>
  <c r="W925" i="15"/>
  <c r="AB911" i="15"/>
  <c r="AB901" i="15"/>
  <c r="W897" i="15"/>
  <c r="AB941" i="15"/>
  <c r="W907" i="15"/>
  <c r="W917" i="15"/>
  <c r="W893" i="15"/>
  <c r="AB903" i="15"/>
  <c r="W903" i="15"/>
  <c r="AB881" i="15"/>
  <c r="AB943" i="15"/>
  <c r="AB909" i="15"/>
  <c r="AB897" i="15"/>
  <c r="AB876" i="15"/>
  <c r="AB893" i="15"/>
  <c r="Q573" i="15"/>
  <c r="R573" i="15"/>
  <c r="G573" i="15" s="1"/>
  <c r="G67" i="15"/>
  <c r="K332" i="15"/>
  <c r="L331" i="15"/>
  <c r="L332" i="15" s="1"/>
  <c r="Q1129" i="15"/>
  <c r="R1129" i="15"/>
  <c r="G1129" i="15" s="1"/>
  <c r="Q840" i="15"/>
  <c r="R840" i="15"/>
  <c r="G840" i="15" s="1"/>
  <c r="R1167" i="15"/>
  <c r="G1167" i="15" s="1"/>
  <c r="R1143" i="15"/>
  <c r="G1143" i="15" s="1"/>
  <c r="N1143" i="15"/>
  <c r="Q1131" i="15"/>
  <c r="R1125" i="15"/>
  <c r="G1125" i="15" s="1"/>
  <c r="R1163" i="15"/>
  <c r="G1163" i="15" s="1"/>
  <c r="Q1097" i="15"/>
  <c r="R1097" i="15"/>
  <c r="G1097" i="15" s="1"/>
  <c r="N1097" i="15"/>
  <c r="R1107" i="15"/>
  <c r="G1107" i="15" s="1"/>
  <c r="Q1101" i="15"/>
  <c r="R1101" i="15"/>
  <c r="G1101" i="15" s="1"/>
  <c r="R1123" i="15"/>
  <c r="G1123" i="15" s="1"/>
  <c r="Q1005" i="15"/>
  <c r="R1005" i="15"/>
  <c r="G1005" i="15" s="1"/>
  <c r="Q1029" i="15"/>
  <c r="R1029" i="15"/>
  <c r="G1029" i="15" s="1"/>
  <c r="R1105" i="15"/>
  <c r="G1105" i="15" s="1"/>
  <c r="N945" i="15"/>
  <c r="Q991" i="15"/>
  <c r="L670" i="15"/>
  <c r="K671" i="15"/>
  <c r="N354" i="15"/>
  <c r="Q476" i="15"/>
  <c r="R476" i="15"/>
  <c r="G476" i="15" s="1"/>
  <c r="R921" i="15"/>
  <c r="G921" i="15" s="1"/>
  <c r="N921" i="15"/>
  <c r="R1011" i="15"/>
  <c r="G1011" i="15" s="1"/>
  <c r="N1011" i="15"/>
  <c r="Q985" i="15"/>
  <c r="N711" i="15"/>
  <c r="R711" i="15"/>
  <c r="P710" i="15" s="1"/>
  <c r="G711" i="15" s="1"/>
  <c r="R955" i="15"/>
  <c r="G955" i="15" s="1"/>
  <c r="R885" i="15"/>
  <c r="G885" i="15" s="1"/>
  <c r="Q802" i="15"/>
  <c r="R802" i="15"/>
  <c r="G802" i="15" s="1"/>
  <c r="AA1086" i="15"/>
  <c r="AA1073" i="15"/>
  <c r="AA1053" i="15"/>
  <c r="AA1065" i="15"/>
  <c r="AA1057" i="15"/>
  <c r="AA1061" i="15"/>
  <c r="AA1049" i="15"/>
  <c r="AA1045" i="15"/>
  <c r="AA1029" i="15"/>
  <c r="AA1009" i="15"/>
  <c r="AA1037" i="15"/>
  <c r="AA985" i="15"/>
  <c r="AA1059" i="15"/>
  <c r="AA1047" i="15"/>
  <c r="AA1003" i="15"/>
  <c r="AA1033" i="15"/>
  <c r="AA1001" i="15"/>
  <c r="AA1023" i="15"/>
  <c r="AA987" i="15"/>
  <c r="AA1005" i="15"/>
  <c r="AA1017" i="15"/>
  <c r="R633" i="15"/>
  <c r="G633" i="15" s="1"/>
  <c r="N633" i="15"/>
  <c r="M717" i="15"/>
  <c r="Q717" i="15" s="1"/>
  <c r="K716" i="15"/>
  <c r="K680" i="15"/>
  <c r="M681" i="15"/>
  <c r="Q681" i="15" s="1"/>
  <c r="Z955" i="15"/>
  <c r="Z959" i="15"/>
  <c r="Z951" i="15"/>
  <c r="Z917" i="15"/>
  <c r="Z901" i="15"/>
  <c r="Z957" i="15"/>
  <c r="Z937" i="15"/>
  <c r="Z953" i="15"/>
  <c r="Z935" i="15"/>
  <c r="Z941" i="15"/>
  <c r="Z925" i="15"/>
  <c r="Z913" i="15"/>
  <c r="Z911" i="15"/>
  <c r="Z905" i="15"/>
  <c r="Z899" i="15"/>
  <c r="Z915" i="15"/>
  <c r="Z881" i="15"/>
  <c r="Z895" i="15"/>
  <c r="Z883" i="15"/>
  <c r="R959" i="15"/>
  <c r="M743" i="15"/>
  <c r="Q743" i="15" s="1"/>
  <c r="K742" i="15"/>
  <c r="M735" i="15"/>
  <c r="Q735" i="15" s="1"/>
  <c r="K734" i="15"/>
  <c r="L707" i="15"/>
  <c r="N707" i="15" s="1"/>
  <c r="Q605" i="15"/>
  <c r="R605" i="15"/>
  <c r="G605" i="15" s="1"/>
  <c r="R575" i="15"/>
  <c r="G575" i="15" s="1"/>
  <c r="Q538" i="15"/>
  <c r="R538" i="15"/>
  <c r="G538" i="15" s="1"/>
  <c r="N484" i="15"/>
  <c r="R484" i="15" s="1"/>
  <c r="G484" i="15" s="1"/>
  <c r="G411" i="15"/>
  <c r="R494" i="15"/>
  <c r="R466" i="15"/>
  <c r="G466" i="15" s="1"/>
  <c r="S666" i="15"/>
  <c r="S564" i="15"/>
  <c r="S461" i="15"/>
  <c r="R577" i="15"/>
  <c r="R486" i="15"/>
  <c r="G486" i="15" s="1"/>
  <c r="T312" i="15"/>
  <c r="S344" i="15"/>
  <c r="S342" i="15"/>
  <c r="S340" i="15"/>
  <c r="S338" i="15"/>
  <c r="S336" i="15"/>
  <c r="S334" i="15"/>
  <c r="S332" i="15"/>
  <c r="S330" i="15"/>
  <c r="S328" i="15"/>
  <c r="S326" i="15"/>
  <c r="S324" i="15"/>
  <c r="S322" i="15"/>
  <c r="S320" i="15"/>
  <c r="S318" i="15"/>
  <c r="S316" i="15"/>
  <c r="S314" i="15"/>
  <c r="S312" i="15"/>
  <c r="S310" i="15"/>
  <c r="S384" i="15"/>
  <c r="T134" i="15"/>
  <c r="Q989" i="15"/>
  <c r="R989" i="15"/>
  <c r="G989" i="15" s="1"/>
  <c r="N915" i="15"/>
  <c r="N883" i="15"/>
  <c r="R883" i="15"/>
  <c r="G883" i="15" s="1"/>
  <c r="AA897" i="15"/>
  <c r="R800" i="15"/>
  <c r="G800" i="15" s="1"/>
  <c r="Q899" i="15"/>
  <c r="R739" i="15"/>
  <c r="P738" i="15" s="1"/>
  <c r="G739" i="15" s="1"/>
  <c r="L703" i="15"/>
  <c r="K703" i="15"/>
  <c r="Q826" i="15"/>
  <c r="R790" i="15"/>
  <c r="G790" i="15" s="1"/>
  <c r="M741" i="15"/>
  <c r="Q741" i="15" s="1"/>
  <c r="K740" i="15"/>
  <c r="Q804" i="15"/>
  <c r="L694" i="15"/>
  <c r="Q571" i="15"/>
  <c r="Q504" i="15"/>
  <c r="Q645" i="15"/>
  <c r="R597" i="15"/>
  <c r="Q822" i="15"/>
  <c r="R822" i="15"/>
  <c r="G822" i="15" s="1"/>
  <c r="R506" i="15"/>
  <c r="G506" i="15" s="1"/>
  <c r="Q540" i="15"/>
  <c r="R621" i="15"/>
  <c r="G621" i="15" s="1"/>
  <c r="Q488" i="15"/>
  <c r="N228" i="15"/>
  <c r="K368" i="15"/>
  <c r="L367" i="15"/>
  <c r="L368" i="15" s="1"/>
  <c r="Q502" i="15"/>
  <c r="L369" i="15"/>
  <c r="L370" i="15" s="1"/>
  <c r="T344" i="15"/>
  <c r="T342" i="15"/>
  <c r="T340" i="15"/>
  <c r="T338" i="15"/>
  <c r="T336" i="15"/>
  <c r="T334" i="15"/>
  <c r="T332" i="15"/>
  <c r="T330" i="15"/>
  <c r="G75" i="15"/>
  <c r="Q484" i="15"/>
  <c r="N134" i="15"/>
  <c r="AB144" i="15"/>
  <c r="AB134" i="15"/>
  <c r="T104" i="15"/>
  <c r="L349" i="15"/>
  <c r="L350" i="15" s="1"/>
  <c r="N318" i="15"/>
  <c r="T310" i="15"/>
  <c r="S445" i="15"/>
  <c r="S443" i="15"/>
  <c r="T110" i="15"/>
  <c r="G77" i="15"/>
  <c r="Q1009" i="15"/>
  <c r="N854" i="15"/>
  <c r="R854" i="15"/>
  <c r="N834" i="15"/>
  <c r="X1086" i="15"/>
  <c r="X1073" i="15"/>
  <c r="X1049" i="15"/>
  <c r="X1063" i="15"/>
  <c r="X1037" i="15"/>
  <c r="X1035" i="15"/>
  <c r="X1053" i="15"/>
  <c r="X1051" i="15"/>
  <c r="X1039" i="15"/>
  <c r="X1065" i="15"/>
  <c r="X1017" i="15"/>
  <c r="X1001" i="15"/>
  <c r="X1009" i="15"/>
  <c r="X1055" i="15"/>
  <c r="X991" i="15"/>
  <c r="X999" i="15"/>
  <c r="X1015" i="15"/>
  <c r="X1031" i="15"/>
  <c r="X1007" i="15"/>
  <c r="X993" i="15"/>
  <c r="X985" i="15"/>
  <c r="X989" i="15"/>
  <c r="X1067" i="15"/>
  <c r="X1011" i="15"/>
  <c r="R834" i="15"/>
  <c r="G834" i="15" s="1"/>
  <c r="AA889" i="15"/>
  <c r="Q808" i="15"/>
  <c r="Z1073" i="15"/>
  <c r="Z1061" i="15"/>
  <c r="Z1063" i="15"/>
  <c r="Z1037" i="15"/>
  <c r="Z1001" i="15"/>
  <c r="Z1086" i="15"/>
  <c r="Z1033" i="15"/>
  <c r="Z1067" i="15"/>
  <c r="Z1051" i="15"/>
  <c r="Z1005" i="15"/>
  <c r="Z1049" i="15"/>
  <c r="Z1007" i="15"/>
  <c r="Z985" i="15"/>
  <c r="Z1031" i="15"/>
  <c r="Z991" i="15"/>
  <c r="Z1035" i="15"/>
  <c r="Z997" i="15"/>
  <c r="Z1047" i="15"/>
  <c r="N611" i="15"/>
  <c r="R611" i="15"/>
  <c r="G611" i="15" s="1"/>
  <c r="R810" i="15"/>
  <c r="G810" i="15" s="1"/>
  <c r="Q881" i="15"/>
  <c r="R911" i="15"/>
  <c r="G911" i="15" s="1"/>
  <c r="R778" i="15"/>
  <c r="K696" i="15"/>
  <c r="M697" i="15"/>
  <c r="Q697" i="15" s="1"/>
  <c r="R617" i="15"/>
  <c r="G617" i="15" s="1"/>
  <c r="R637" i="15"/>
  <c r="AB500" i="15"/>
  <c r="R788" i="15"/>
  <c r="G788" i="15" s="1"/>
  <c r="G409" i="15"/>
  <c r="R593" i="15"/>
  <c r="G593" i="15" s="1"/>
  <c r="N260" i="15"/>
  <c r="K356" i="15"/>
  <c r="L355" i="15"/>
  <c r="L356" i="15" s="1"/>
  <c r="R482" i="15"/>
  <c r="G482" i="15" s="1"/>
  <c r="N136" i="15"/>
  <c r="L343" i="15"/>
  <c r="L344" i="15" s="1"/>
  <c r="K344" i="15"/>
  <c r="T316" i="15"/>
  <c r="T122" i="15"/>
  <c r="G79" i="15"/>
  <c r="S360" i="15"/>
  <c r="K342" i="15"/>
  <c r="L341" i="15"/>
  <c r="L342" i="15" s="1"/>
  <c r="AB296" i="15"/>
  <c r="AB295" i="15"/>
  <c r="AB297" i="15"/>
  <c r="T126" i="15"/>
  <c r="G49" i="15"/>
  <c r="R995" i="15"/>
  <c r="G995" i="15" s="1"/>
  <c r="N820" i="15"/>
  <c r="R820" i="15"/>
  <c r="G820" i="15" s="1"/>
  <c r="N897" i="15"/>
  <c r="R897" i="15"/>
  <c r="G897" i="15" s="1"/>
  <c r="R784" i="15"/>
  <c r="K721" i="15"/>
  <c r="Q589" i="15"/>
  <c r="R589" i="15"/>
  <c r="G589" i="15" s="1"/>
  <c r="G415" i="15"/>
  <c r="R585" i="15"/>
  <c r="G585" i="15" s="1"/>
  <c r="N427" i="15"/>
  <c r="Q508" i="15"/>
  <c r="Q615" i="15"/>
  <c r="Q472" i="15"/>
  <c r="R836" i="15"/>
  <c r="L387" i="15"/>
  <c r="L388" i="15" s="1"/>
  <c r="Q581" i="15"/>
  <c r="N276" i="15"/>
  <c r="R502" i="15"/>
  <c r="G502" i="15" s="1"/>
  <c r="G413" i="15"/>
  <c r="K338" i="15"/>
  <c r="L337" i="15"/>
  <c r="L338" i="15" s="1"/>
  <c r="T130" i="15"/>
  <c r="N102" i="15"/>
  <c r="N63" i="15"/>
  <c r="T382" i="15"/>
  <c r="N326" i="15"/>
  <c r="T276" i="15"/>
  <c r="G276" i="15" s="1"/>
  <c r="T260" i="15"/>
  <c r="G260" i="15" s="1"/>
  <c r="T244" i="15"/>
  <c r="G244" i="15" s="1"/>
  <c r="T228" i="15"/>
  <c r="G228" i="15" s="1"/>
  <c r="T220" i="15"/>
  <c r="G220" i="15" s="1"/>
  <c r="T280" i="15"/>
  <c r="G280" i="15" s="1"/>
  <c r="T274" i="15"/>
  <c r="G274" i="15" s="1"/>
  <c r="T268" i="15"/>
  <c r="G268" i="15" s="1"/>
  <c r="T264" i="15"/>
  <c r="G264" i="15" s="1"/>
  <c r="T258" i="15"/>
  <c r="G258" i="15" s="1"/>
  <c r="T252" i="15"/>
  <c r="G252" i="15" s="1"/>
  <c r="T248" i="15"/>
  <c r="G248" i="15" s="1"/>
  <c r="T242" i="15"/>
  <c r="G242" i="15" s="1"/>
  <c r="T236" i="15"/>
  <c r="G236" i="15" s="1"/>
  <c r="T232" i="15"/>
  <c r="G232" i="15" s="1"/>
  <c r="T216" i="15"/>
  <c r="G216" i="15" s="1"/>
  <c r="T226" i="15"/>
  <c r="G226" i="15" s="1"/>
  <c r="T204" i="15"/>
  <c r="G204" i="15" s="1"/>
  <c r="T212" i="15"/>
  <c r="G212" i="15" s="1"/>
  <c r="T208" i="15"/>
  <c r="G208" i="15" s="1"/>
  <c r="T364" i="15"/>
  <c r="T328" i="15"/>
  <c r="N330" i="15"/>
  <c r="T102" i="15"/>
  <c r="R1027" i="15"/>
  <c r="G1027" i="15" s="1"/>
  <c r="N943" i="15"/>
  <c r="R943" i="15"/>
  <c r="G943" i="15" s="1"/>
  <c r="Q1039" i="15"/>
  <c r="R903" i="15"/>
  <c r="G903" i="15" s="1"/>
  <c r="AA947" i="15"/>
  <c r="AA931" i="15"/>
  <c r="AA937" i="15"/>
  <c r="AA953" i="15"/>
  <c r="AA939" i="15"/>
  <c r="AA959" i="15"/>
  <c r="AA945" i="15"/>
  <c r="AA917" i="15"/>
  <c r="AA913" i="15"/>
  <c r="AA899" i="15"/>
  <c r="AA883" i="15"/>
  <c r="AA955" i="15"/>
  <c r="AA915" i="15"/>
  <c r="AA901" i="15"/>
  <c r="AA881" i="15"/>
  <c r="Q887" i="15"/>
  <c r="N619" i="15"/>
  <c r="R619" i="15"/>
  <c r="G619" i="15" s="1"/>
  <c r="K708" i="15"/>
  <c r="M709" i="15"/>
  <c r="Q709" i="15" s="1"/>
  <c r="Q647" i="15"/>
  <c r="Q830" i="15"/>
  <c r="L702" i="15"/>
  <c r="R609" i="15"/>
  <c r="G609" i="15" s="1"/>
  <c r="N609" i="15"/>
  <c r="M689" i="15"/>
  <c r="Q689" i="15" s="1"/>
  <c r="K688" i="15"/>
  <c r="R647" i="15"/>
  <c r="Q603" i="15"/>
  <c r="N500" i="15"/>
  <c r="R500" i="15" s="1"/>
  <c r="G500" i="15" s="1"/>
  <c r="Q587" i="15"/>
  <c r="R607" i="15"/>
  <c r="G607" i="15" s="1"/>
  <c r="Q500" i="15"/>
  <c r="T326" i="15"/>
  <c r="N120" i="15"/>
  <c r="G65" i="15"/>
  <c r="G45" i="15"/>
  <c r="T138" i="15"/>
  <c r="T666" i="15"/>
  <c r="T564" i="15"/>
  <c r="T461" i="15"/>
  <c r="R591" i="15"/>
  <c r="G591" i="15" s="1"/>
  <c r="T360" i="15"/>
  <c r="T230" i="15"/>
  <c r="G230" i="15" s="1"/>
  <c r="N804" i="15"/>
  <c r="R804" i="15"/>
  <c r="Q852" i="15"/>
  <c r="R852" i="15"/>
  <c r="G852" i="15" s="1"/>
  <c r="N683" i="15"/>
  <c r="R683" i="15"/>
  <c r="P682" i="15" s="1"/>
  <c r="G683" i="15" s="1"/>
  <c r="Y957" i="15"/>
  <c r="Y931" i="15"/>
  <c r="Y941" i="15"/>
  <c r="Y915" i="15"/>
  <c r="Y899" i="15"/>
  <c r="Y951" i="15"/>
  <c r="Y933" i="15"/>
  <c r="Y895" i="15"/>
  <c r="Y939" i="15"/>
  <c r="Y927" i="15"/>
  <c r="Y935" i="15"/>
  <c r="Y925" i="15"/>
  <c r="Y891" i="15"/>
  <c r="Y887" i="15"/>
  <c r="Y913" i="15"/>
  <c r="Y909" i="15"/>
  <c r="Y881" i="15"/>
  <c r="Y883" i="15"/>
  <c r="Y911" i="15"/>
  <c r="Y955" i="15"/>
  <c r="Y885" i="15"/>
  <c r="R641" i="15"/>
  <c r="R613" i="15"/>
  <c r="G613" i="15" s="1"/>
  <c r="R832" i="15"/>
  <c r="G832" i="15" s="1"/>
  <c r="K672" i="15"/>
  <c r="M673" i="15"/>
  <c r="Q673" i="15" s="1"/>
  <c r="R498" i="15"/>
  <c r="G498" i="15" s="1"/>
  <c r="T322" i="15"/>
  <c r="N144" i="15"/>
  <c r="L335" i="15"/>
  <c r="L336" i="15" s="1"/>
  <c r="K336" i="15"/>
  <c r="T386" i="15"/>
  <c r="T146" i="15"/>
  <c r="N110" i="15"/>
  <c r="R504" i="15"/>
  <c r="G504" i="15" s="1"/>
  <c r="K334" i="15"/>
  <c r="L333" i="15"/>
  <c r="L334" i="15" s="1"/>
  <c r="T142" i="15"/>
  <c r="T118" i="15"/>
  <c r="T144" i="15"/>
  <c r="R1009" i="15"/>
  <c r="G1009" i="15" s="1"/>
  <c r="G891" i="15"/>
  <c r="R925" i="15"/>
  <c r="G925" i="15" s="1"/>
  <c r="Q1041" i="15"/>
  <c r="R923" i="15"/>
  <c r="G923" i="15" s="1"/>
  <c r="N824" i="15"/>
  <c r="R824" i="15"/>
  <c r="G824" i="15" s="1"/>
  <c r="N808" i="15"/>
  <c r="R808" i="15"/>
  <c r="G808" i="15" s="1"/>
  <c r="N792" i="15"/>
  <c r="R792" i="15"/>
  <c r="G792" i="15" s="1"/>
  <c r="N776" i="15"/>
  <c r="Q905" i="15"/>
  <c r="Q850" i="15"/>
  <c r="AA893" i="15"/>
  <c r="Y897" i="15"/>
  <c r="Q806" i="15"/>
  <c r="Y889" i="15"/>
  <c r="Y1073" i="15"/>
  <c r="Y1061" i="15"/>
  <c r="Y1045" i="15"/>
  <c r="Y1086" i="15"/>
  <c r="Y1065" i="15"/>
  <c r="Y1053" i="15"/>
  <c r="Y1051" i="15"/>
  <c r="Y1017" i="15"/>
  <c r="Y1001" i="15"/>
  <c r="Y1033" i="15"/>
  <c r="Y1029" i="15"/>
  <c r="Y1009" i="15"/>
  <c r="Y1005" i="15"/>
  <c r="Y1049" i="15"/>
  <c r="Y1037" i="15"/>
  <c r="Y1021" i="15"/>
  <c r="Y1007" i="15"/>
  <c r="Y997" i="15"/>
  <c r="Y993" i="15"/>
  <c r="Y985" i="15"/>
  <c r="Y1035" i="15"/>
  <c r="Y1063" i="15"/>
  <c r="Y991" i="15"/>
  <c r="Y1023" i="15"/>
  <c r="Y1069" i="15"/>
  <c r="Q854" i="15"/>
  <c r="Q629" i="15"/>
  <c r="R629" i="15"/>
  <c r="G629" i="15" s="1"/>
  <c r="R818" i="15"/>
  <c r="G818" i="15" s="1"/>
  <c r="R579" i="15"/>
  <c r="G579" i="15" s="1"/>
  <c r="AB502" i="15"/>
  <c r="AB494" i="15"/>
  <c r="L687" i="15"/>
  <c r="Q778" i="15"/>
  <c r="D29" i="10" s="1"/>
  <c r="Q583" i="15"/>
  <c r="V980" i="15"/>
  <c r="AB794" i="15"/>
  <c r="AB792" i="15"/>
  <c r="AB776" i="15"/>
  <c r="AB771" i="15"/>
  <c r="AB790" i="15"/>
  <c r="V778" i="15"/>
  <c r="D35" i="10" s="1"/>
  <c r="AB788" i="15"/>
  <c r="AB786" i="15"/>
  <c r="Q524" i="15"/>
  <c r="R569" i="15"/>
  <c r="G569" i="15" s="1"/>
  <c r="Q512" i="15"/>
  <c r="N441" i="15"/>
  <c r="Q496" i="15"/>
  <c r="Q480" i="15"/>
  <c r="R496" i="15"/>
  <c r="G496" i="15" s="1"/>
  <c r="Q470" i="15"/>
  <c r="T362" i="15"/>
  <c r="N429" i="15"/>
  <c r="L373" i="15"/>
  <c r="L374" i="15" s="1"/>
  <c r="T318" i="15"/>
  <c r="N79" i="15"/>
  <c r="L381" i="15"/>
  <c r="L382" i="15" s="1"/>
  <c r="N118" i="15"/>
  <c r="T98" i="15"/>
  <c r="G51" i="15"/>
  <c r="AB85" i="15"/>
  <c r="AB86" i="15"/>
  <c r="AB84" i="15"/>
  <c r="T266" i="15"/>
  <c r="G266" i="15" s="1"/>
  <c r="T250" i="15"/>
  <c r="G250" i="15" s="1"/>
  <c r="T234" i="15"/>
  <c r="G234" i="15" s="1"/>
  <c r="T282" i="15"/>
  <c r="G282" i="15" s="1"/>
  <c r="E45" i="11"/>
  <c r="G45" i="11" s="1"/>
  <c r="H45" i="11"/>
  <c r="H44" i="11"/>
  <c r="J44" i="11" s="1"/>
  <c r="J55" i="11"/>
  <c r="G55" i="11"/>
  <c r="J54" i="11"/>
  <c r="G54" i="11"/>
  <c r="J53" i="11"/>
  <c r="G53" i="11"/>
  <c r="J52" i="11"/>
  <c r="G52" i="11"/>
  <c r="J51" i="11"/>
  <c r="G51" i="11"/>
  <c r="J50" i="11"/>
  <c r="G50" i="11"/>
  <c r="H49" i="11"/>
  <c r="J49" i="11" s="1"/>
  <c r="G49" i="11"/>
  <c r="J48" i="11"/>
  <c r="G48" i="11"/>
  <c r="J47" i="11"/>
  <c r="G47" i="11"/>
  <c r="H46" i="11"/>
  <c r="J46" i="11" s="1"/>
  <c r="E46" i="11"/>
  <c r="G44" i="11"/>
  <c r="C55" i="11"/>
  <c r="C54" i="11"/>
  <c r="C53" i="11"/>
  <c r="C52" i="11"/>
  <c r="C51" i="11"/>
  <c r="C50" i="11"/>
  <c r="C48" i="11"/>
  <c r="C47" i="11"/>
  <c r="C68" i="11"/>
  <c r="C69" i="11"/>
  <c r="C38" i="11"/>
  <c r="C37" i="11"/>
  <c r="C70" i="11"/>
  <c r="C71" i="11"/>
  <c r="D75" i="11"/>
  <c r="C43" i="11"/>
  <c r="C42" i="11"/>
  <c r="C41" i="11"/>
  <c r="C39" i="11"/>
  <c r="C36" i="11"/>
  <c r="C35" i="11"/>
  <c r="C34" i="11"/>
  <c r="C33" i="11"/>
  <c r="C32" i="11"/>
  <c r="C40" i="11"/>
  <c r="G42" i="11"/>
  <c r="G43" i="11"/>
  <c r="J40" i="11"/>
  <c r="J41" i="11"/>
  <c r="J42" i="11"/>
  <c r="J43" i="11"/>
  <c r="J32" i="11"/>
  <c r="J33" i="11"/>
  <c r="J34" i="11"/>
  <c r="J35" i="11"/>
  <c r="J36" i="11"/>
  <c r="J37" i="11"/>
  <c r="J38" i="11"/>
  <c r="J39" i="11"/>
  <c r="G41" i="11"/>
  <c r="G32" i="11"/>
  <c r="G33" i="11"/>
  <c r="G34" i="11"/>
  <c r="G35" i="11"/>
  <c r="G36" i="11"/>
  <c r="G37" i="11"/>
  <c r="G38" i="11"/>
  <c r="G39" i="11"/>
  <c r="G40" i="11"/>
  <c r="D27" i="10" l="1"/>
  <c r="C49" i="11"/>
  <c r="G778" i="15"/>
  <c r="D30" i="10"/>
  <c r="G128" i="15"/>
  <c r="G180" i="15"/>
  <c r="G184" i="15"/>
  <c r="G186" i="15"/>
  <c r="G104" i="15"/>
  <c r="G182" i="15"/>
  <c r="G178" i="15"/>
  <c r="G380" i="15"/>
  <c r="G394" i="15"/>
  <c r="G392" i="15"/>
  <c r="G398" i="15"/>
  <c r="G396" i="15"/>
  <c r="G376" i="15"/>
  <c r="G354" i="15"/>
  <c r="G324" i="15"/>
  <c r="G390" i="15"/>
  <c r="S546" i="15"/>
  <c r="S548" i="15"/>
  <c r="S550" i="15"/>
  <c r="S552" i="15"/>
  <c r="S554" i="15"/>
  <c r="G554" i="15" s="1"/>
  <c r="T548" i="15"/>
  <c r="T546" i="15"/>
  <c r="T550" i="15"/>
  <c r="T552" i="15"/>
  <c r="T554" i="15"/>
  <c r="S649" i="15"/>
  <c r="S657" i="15"/>
  <c r="S651" i="15"/>
  <c r="S655" i="15"/>
  <c r="S653" i="15"/>
  <c r="T649" i="15"/>
  <c r="T651" i="15"/>
  <c r="T653" i="15"/>
  <c r="T657" i="15"/>
  <c r="T655" i="15"/>
  <c r="G358" i="15"/>
  <c r="T753" i="15"/>
  <c r="T751" i="15"/>
  <c r="T757" i="15"/>
  <c r="T759" i="15"/>
  <c r="T755" i="15"/>
  <c r="S753" i="15"/>
  <c r="S751" i="15"/>
  <c r="S757" i="15"/>
  <c r="S759" i="15"/>
  <c r="S755" i="15"/>
  <c r="Z1180" i="15"/>
  <c r="Z1176" i="15"/>
  <c r="Z1178" i="15"/>
  <c r="Z1172" i="15"/>
  <c r="Z1174" i="15"/>
  <c r="X1174" i="15"/>
  <c r="X1176" i="15"/>
  <c r="X1172" i="15"/>
  <c r="X1178" i="15"/>
  <c r="X1180" i="15"/>
  <c r="W1077" i="15"/>
  <c r="W1075" i="15"/>
  <c r="W1081" i="15"/>
  <c r="W1083" i="15"/>
  <c r="W1079" i="15"/>
  <c r="AA1174" i="15"/>
  <c r="AA1172" i="15"/>
  <c r="AA1178" i="15"/>
  <c r="AA1176" i="15"/>
  <c r="AA1180" i="15"/>
  <c r="AB1081" i="15"/>
  <c r="AB1083" i="15"/>
  <c r="AB1077" i="15"/>
  <c r="AB1075" i="15"/>
  <c r="AB1079" i="15"/>
  <c r="Y1174" i="15"/>
  <c r="Y1180" i="15"/>
  <c r="Y1176" i="15"/>
  <c r="Y1172" i="15"/>
  <c r="Y1178" i="15"/>
  <c r="G134" i="15"/>
  <c r="G170" i="15"/>
  <c r="G102" i="15"/>
  <c r="G374" i="15"/>
  <c r="G431" i="15"/>
  <c r="G148" i="15"/>
  <c r="R701" i="15"/>
  <c r="P700" i="15" s="1"/>
  <c r="G701" i="15" s="1"/>
  <c r="G116" i="15"/>
  <c r="G425" i="15"/>
  <c r="G174" i="15"/>
  <c r="G114" i="15"/>
  <c r="G110" i="15"/>
  <c r="G433" i="15"/>
  <c r="G172" i="15"/>
  <c r="G100" i="15"/>
  <c r="G352" i="15"/>
  <c r="G350" i="15"/>
  <c r="G372" i="15"/>
  <c r="G138" i="15"/>
  <c r="G162" i="15"/>
  <c r="G142" i="15"/>
  <c r="G132" i="15"/>
  <c r="G144" i="15"/>
  <c r="G118" i="15"/>
  <c r="G136" i="15"/>
  <c r="G106" i="15"/>
  <c r="G156" i="15"/>
  <c r="G108" i="15"/>
  <c r="G130" i="15"/>
  <c r="G146" i="15"/>
  <c r="G152" i="15"/>
  <c r="G168" i="15"/>
  <c r="G140" i="15"/>
  <c r="G154" i="15"/>
  <c r="G98" i="15"/>
  <c r="G447" i="15"/>
  <c r="G126" i="15"/>
  <c r="G164" i="15"/>
  <c r="G160" i="15"/>
  <c r="G122" i="15"/>
  <c r="G124" i="15"/>
  <c r="G176" i="15"/>
  <c r="G366" i="15"/>
  <c r="G166" i="15"/>
  <c r="G150" i="15"/>
  <c r="G158" i="15"/>
  <c r="G112" i="15"/>
  <c r="L725" i="15"/>
  <c r="N725" i="15" s="1"/>
  <c r="G346" i="15"/>
  <c r="L749" i="15"/>
  <c r="N749" i="15" s="1"/>
  <c r="G429" i="15"/>
  <c r="L748" i="15"/>
  <c r="G388" i="15"/>
  <c r="R719" i="15"/>
  <c r="P718" i="15" s="1"/>
  <c r="G719" i="15" s="1"/>
  <c r="G364" i="15"/>
  <c r="G370" i="15"/>
  <c r="C45" i="11"/>
  <c r="G46" i="11"/>
  <c r="C46" i="11"/>
  <c r="R693" i="15"/>
  <c r="P692" i="15" s="1"/>
  <c r="G693" i="15" s="1"/>
  <c r="K679" i="15"/>
  <c r="L724" i="15"/>
  <c r="L679" i="15"/>
  <c r="R687" i="15"/>
  <c r="P686" i="15" s="1"/>
  <c r="G687" i="15" s="1"/>
  <c r="R727" i="15"/>
  <c r="P726" i="15" s="1"/>
  <c r="G727" i="15" s="1"/>
  <c r="L733" i="15"/>
  <c r="R733" i="15" s="1"/>
  <c r="G443" i="15"/>
  <c r="G445" i="15"/>
  <c r="R705" i="15"/>
  <c r="P704" i="15" s="1"/>
  <c r="G705" i="15" s="1"/>
  <c r="L732" i="15"/>
  <c r="R715" i="15"/>
  <c r="P714" i="15" s="1"/>
  <c r="G715" i="15" s="1"/>
  <c r="R677" i="15"/>
  <c r="P676" i="15" s="1"/>
  <c r="G677" i="15" s="1"/>
  <c r="G384" i="15"/>
  <c r="N699" i="15"/>
  <c r="G314" i="15"/>
  <c r="L747" i="15"/>
  <c r="N727" i="15"/>
  <c r="K747" i="15"/>
  <c r="N719" i="15"/>
  <c r="L731" i="15"/>
  <c r="R731" i="15" s="1"/>
  <c r="P730" i="15" s="1"/>
  <c r="G731" i="15" s="1"/>
  <c r="L730" i="15"/>
  <c r="N366" i="15"/>
  <c r="R707" i="15"/>
  <c r="P706" i="15" s="1"/>
  <c r="G707" i="15" s="1"/>
  <c r="R699" i="15"/>
  <c r="P698" i="15" s="1"/>
  <c r="G699" i="15" s="1"/>
  <c r="N715" i="15"/>
  <c r="G320" i="15"/>
  <c r="G360" i="15"/>
  <c r="R723" i="15"/>
  <c r="R737" i="15"/>
  <c r="P736" i="15" s="1"/>
  <c r="G737" i="15" s="1"/>
  <c r="R691" i="15"/>
  <c r="P690" i="15" s="1"/>
  <c r="G691" i="15" s="1"/>
  <c r="R729" i="15"/>
  <c r="P728" i="15" s="1"/>
  <c r="G729" i="15" s="1"/>
  <c r="G386" i="15"/>
  <c r="R745" i="15"/>
  <c r="P744" i="15" s="1"/>
  <c r="G745" i="15" s="1"/>
  <c r="N691" i="15"/>
  <c r="R713" i="15"/>
  <c r="P712" i="15" s="1"/>
  <c r="G713" i="15" s="1"/>
  <c r="G382" i="15"/>
  <c r="G362" i="15"/>
  <c r="R695" i="15"/>
  <c r="P694" i="15" s="1"/>
  <c r="G695" i="15" s="1"/>
  <c r="G348" i="15"/>
  <c r="N388" i="15"/>
  <c r="G330" i="15"/>
  <c r="G312" i="15"/>
  <c r="N729" i="15"/>
  <c r="G316" i="15"/>
  <c r="G318" i="15"/>
  <c r="R685" i="15"/>
  <c r="P684" i="15" s="1"/>
  <c r="G685" i="15" s="1"/>
  <c r="N374" i="15"/>
  <c r="G322" i="15"/>
  <c r="G340" i="15"/>
  <c r="L674" i="15"/>
  <c r="L675" i="15"/>
  <c r="K675" i="15"/>
  <c r="G310" i="15"/>
  <c r="G326" i="15"/>
  <c r="N370" i="15"/>
  <c r="G328" i="15"/>
  <c r="S542" i="15"/>
  <c r="S538" i="15"/>
  <c r="S522" i="15"/>
  <c r="S540" i="15"/>
  <c r="S524" i="15"/>
  <c r="S486" i="15"/>
  <c r="S470" i="15"/>
  <c r="S508" i="15"/>
  <c r="S498" i="15"/>
  <c r="S482" i="15"/>
  <c r="S466" i="15"/>
  <c r="S510" i="15"/>
  <c r="S496" i="15"/>
  <c r="S480" i="15"/>
  <c r="S506" i="15"/>
  <c r="S502" i="15"/>
  <c r="S504" i="15"/>
  <c r="S500" i="15"/>
  <c r="S468" i="15"/>
  <c r="S484" i="15"/>
  <c r="S526" i="15"/>
  <c r="S530" i="15"/>
  <c r="S516" i="15"/>
  <c r="S494" i="15"/>
  <c r="S472" i="15"/>
  <c r="S478" i="15"/>
  <c r="S512" i="15"/>
  <c r="S534" i="15"/>
  <c r="G534" i="15" s="1"/>
  <c r="S474" i="15"/>
  <c r="S528" i="15"/>
  <c r="S490" i="15"/>
  <c r="S514" i="15"/>
  <c r="S520" i="15"/>
  <c r="S518" i="15"/>
  <c r="S492" i="15"/>
  <c r="S532" i="15"/>
  <c r="S476" i="15"/>
  <c r="S488" i="15"/>
  <c r="S544" i="15"/>
  <c r="S536" i="15"/>
  <c r="N368" i="15"/>
  <c r="G368" i="15"/>
  <c r="L742" i="15"/>
  <c r="L743" i="15"/>
  <c r="K743" i="15"/>
  <c r="N382" i="15"/>
  <c r="L689" i="15"/>
  <c r="K689" i="15"/>
  <c r="L688" i="15"/>
  <c r="N703" i="15"/>
  <c r="R703" i="15"/>
  <c r="P702" i="15" s="1"/>
  <c r="G703" i="15" s="1"/>
  <c r="S876" i="15"/>
  <c r="S713" i="15"/>
  <c r="S743" i="15"/>
  <c r="S727" i="15"/>
  <c r="S719" i="15"/>
  <c r="S677" i="15"/>
  <c r="S701" i="15"/>
  <c r="S705" i="15"/>
  <c r="S685" i="15"/>
  <c r="S735" i="15"/>
  <c r="S693" i="15"/>
  <c r="S687" i="15"/>
  <c r="S703" i="15"/>
  <c r="S745" i="15"/>
  <c r="S675" i="15"/>
  <c r="S749" i="15"/>
  <c r="S739" i="15"/>
  <c r="S741" i="15"/>
  <c r="S689" i="15"/>
  <c r="S673" i="15"/>
  <c r="S691" i="15"/>
  <c r="S715" i="15"/>
  <c r="S747" i="15"/>
  <c r="S679" i="15"/>
  <c r="S695" i="15"/>
  <c r="S729" i="15"/>
  <c r="S733" i="15"/>
  <c r="S671" i="15"/>
  <c r="S681" i="15"/>
  <c r="S737" i="15"/>
  <c r="S707" i="15"/>
  <c r="S709" i="15"/>
  <c r="S711" i="15"/>
  <c r="S723" i="15"/>
  <c r="S731" i="15"/>
  <c r="S721" i="15"/>
  <c r="S699" i="15"/>
  <c r="S717" i="15"/>
  <c r="S725" i="15"/>
  <c r="S697" i="15"/>
  <c r="S683" i="15"/>
  <c r="L740" i="15"/>
  <c r="L741" i="15"/>
  <c r="K741" i="15"/>
  <c r="K673" i="15"/>
  <c r="L673" i="15"/>
  <c r="L672" i="15"/>
  <c r="K681" i="15"/>
  <c r="L680" i="15"/>
  <c r="L681" i="15"/>
  <c r="N342" i="15"/>
  <c r="G342" i="15"/>
  <c r="AB1069" i="15"/>
  <c r="AB1067" i="15"/>
  <c r="AB1065" i="15"/>
  <c r="AB1061" i="15"/>
  <c r="AB1041" i="15"/>
  <c r="AB1023" i="15"/>
  <c r="AB1073" i="15"/>
  <c r="AB1071" i="15"/>
  <c r="AB1063" i="15"/>
  <c r="AB1039" i="15"/>
  <c r="AB1037" i="15"/>
  <c r="AB1049" i="15"/>
  <c r="AB1033" i="15"/>
  <c r="AB1057" i="15"/>
  <c r="AB1013" i="15"/>
  <c r="AB997" i="15"/>
  <c r="AB1021" i="15"/>
  <c r="AB1011" i="15"/>
  <c r="AB995" i="15"/>
  <c r="AB1025" i="15"/>
  <c r="V1097" i="15"/>
  <c r="AB1047" i="15"/>
  <c r="AB1029" i="15"/>
  <c r="AB989" i="15"/>
  <c r="AB1059" i="15"/>
  <c r="AB985" i="15"/>
  <c r="AB993" i="15"/>
  <c r="AB1053" i="15"/>
  <c r="AB1043" i="15"/>
  <c r="AB1031" i="15"/>
  <c r="AB1035" i="15"/>
  <c r="AB1027" i="15"/>
  <c r="AB1019" i="15"/>
  <c r="AB999" i="15"/>
  <c r="AB980" i="15"/>
  <c r="AB971" i="15" s="1"/>
  <c r="AB1015" i="15"/>
  <c r="AB1045" i="15"/>
  <c r="AB1055" i="15"/>
  <c r="AB1051" i="15"/>
  <c r="AB1017" i="15"/>
  <c r="V993" i="15"/>
  <c r="AB991" i="15"/>
  <c r="V989" i="15"/>
  <c r="AB1005" i="15" s="1"/>
  <c r="AB987" i="15"/>
  <c r="V985" i="15"/>
  <c r="AB1001" i="15" s="1"/>
  <c r="V1091" i="15"/>
  <c r="V1095" i="15"/>
  <c r="V987" i="15"/>
  <c r="AB1003" i="15" s="1"/>
  <c r="V1093" i="15"/>
  <c r="V991" i="15"/>
  <c r="AB1007" i="15" s="1"/>
  <c r="V1099" i="15"/>
  <c r="N336" i="15"/>
  <c r="G336" i="15"/>
  <c r="L708" i="15"/>
  <c r="L709" i="15"/>
  <c r="K709" i="15"/>
  <c r="Z1167" i="15"/>
  <c r="Z1165" i="15"/>
  <c r="Z1149" i="15"/>
  <c r="Z1129" i="15"/>
  <c r="Z1103" i="15"/>
  <c r="Z1163" i="15"/>
  <c r="Z1151" i="15"/>
  <c r="Z1145" i="15"/>
  <c r="Z1127" i="15"/>
  <c r="Z1115" i="15"/>
  <c r="Z1147" i="15"/>
  <c r="Z1133" i="15"/>
  <c r="Z1105" i="15"/>
  <c r="Z1119" i="15"/>
  <c r="Z1113" i="15"/>
  <c r="Z1131" i="15"/>
  <c r="Z1093" i="15"/>
  <c r="Z1161" i="15"/>
  <c r="Z1117" i="15"/>
  <c r="Z1091" i="15"/>
  <c r="Z1135" i="15"/>
  <c r="Z1121" i="15"/>
  <c r="Z1159" i="15"/>
  <c r="Z1169" i="15"/>
  <c r="Z1099" i="15"/>
  <c r="Z1155" i="15"/>
  <c r="Z1123" i="15"/>
  <c r="Z1101" i="15"/>
  <c r="Z1157" i="15"/>
  <c r="Z1141" i="15"/>
  <c r="Z1153" i="15"/>
  <c r="Z1109" i="15"/>
  <c r="Z1125" i="15"/>
  <c r="Z1143" i="15"/>
  <c r="Z1139" i="15"/>
  <c r="Z1137" i="15"/>
  <c r="Z1095" i="15"/>
  <c r="Z1097" i="15"/>
  <c r="Z1111" i="15"/>
  <c r="Z1107" i="15"/>
  <c r="N332" i="15"/>
  <c r="G332" i="15"/>
  <c r="AB868" i="15"/>
  <c r="AB866" i="15"/>
  <c r="AB867" i="15"/>
  <c r="W1069" i="15"/>
  <c r="W1049" i="15"/>
  <c r="AB1107" i="15" s="1"/>
  <c r="W1033" i="15"/>
  <c r="AB1091" i="15" s="1"/>
  <c r="W1067" i="15"/>
  <c r="W1037" i="15"/>
  <c r="AB1095" i="15" s="1"/>
  <c r="W1057" i="15"/>
  <c r="AB1115" i="15" s="1"/>
  <c r="W1053" i="15"/>
  <c r="AB1111" i="15" s="1"/>
  <c r="W1039" i="15"/>
  <c r="AB1097" i="15" s="1"/>
  <c r="W1073" i="15"/>
  <c r="W1045" i="15"/>
  <c r="AB1103" i="15" s="1"/>
  <c r="W1017" i="15"/>
  <c r="W1001" i="15"/>
  <c r="W991" i="15"/>
  <c r="W1029" i="15"/>
  <c r="W1065" i="15"/>
  <c r="W993" i="15"/>
  <c r="W985" i="15"/>
  <c r="W1009" i="15"/>
  <c r="W997" i="15"/>
  <c r="W1041" i="15"/>
  <c r="AB1099" i="15" s="1"/>
  <c r="W1021" i="15"/>
  <c r="W1011" i="15"/>
  <c r="W1043" i="15"/>
  <c r="AB1101" i="15" s="1"/>
  <c r="W1027" i="15"/>
  <c r="W1013" i="15"/>
  <c r="W1047" i="15"/>
  <c r="AB1105" i="15" s="1"/>
  <c r="W1059" i="15"/>
  <c r="AB1117" i="15" s="1"/>
  <c r="W987" i="15"/>
  <c r="W1019" i="15"/>
  <c r="W989" i="15"/>
  <c r="W1051" i="15"/>
  <c r="AB1109" i="15" s="1"/>
  <c r="W1035" i="15"/>
  <c r="AB1093" i="15" s="1"/>
  <c r="W1003" i="15"/>
  <c r="W995" i="15"/>
  <c r="W1023" i="15"/>
  <c r="W1063" i="15"/>
  <c r="AB1121" i="15" s="1"/>
  <c r="W1055" i="15"/>
  <c r="AB1113" i="15" s="1"/>
  <c r="W999" i="15"/>
  <c r="W1007" i="15"/>
  <c r="W1025" i="15"/>
  <c r="W1015" i="15"/>
  <c r="W1031" i="15"/>
  <c r="W1005" i="15"/>
  <c r="W1071" i="15"/>
  <c r="W1061" i="15"/>
  <c r="AB1119" i="15" s="1"/>
  <c r="K697" i="15"/>
  <c r="L696" i="15"/>
  <c r="L697" i="15"/>
  <c r="S771" i="15"/>
  <c r="S639" i="15"/>
  <c r="S623" i="15"/>
  <c r="S631" i="15"/>
  <c r="G631" i="15" s="1"/>
  <c r="S617" i="15"/>
  <c r="S633" i="15"/>
  <c r="S615" i="15"/>
  <c r="S627" i="15"/>
  <c r="S647" i="15"/>
  <c r="G647" i="15" s="1"/>
  <c r="S609" i="15"/>
  <c r="S593" i="15"/>
  <c r="S577" i="15"/>
  <c r="S605" i="15"/>
  <c r="S589" i="15"/>
  <c r="S573" i="15"/>
  <c r="S643" i="15"/>
  <c r="S603" i="15"/>
  <c r="S607" i="15"/>
  <c r="S587" i="15"/>
  <c r="S611" i="15"/>
  <c r="S575" i="15"/>
  <c r="S591" i="15"/>
  <c r="S571" i="15"/>
  <c r="S613" i="15"/>
  <c r="S579" i="15"/>
  <c r="S641" i="15"/>
  <c r="G641" i="15" s="1"/>
  <c r="S585" i="15"/>
  <c r="S595" i="15"/>
  <c r="S637" i="15"/>
  <c r="G637" i="15" s="1"/>
  <c r="S635" i="15"/>
  <c r="S569" i="15"/>
  <c r="S597" i="15"/>
  <c r="S619" i="15"/>
  <c r="S601" i="15"/>
  <c r="S645" i="15"/>
  <c r="S581" i="15"/>
  <c r="S625" i="15"/>
  <c r="S583" i="15"/>
  <c r="S621" i="15"/>
  <c r="S629" i="15"/>
  <c r="S599" i="15"/>
  <c r="N338" i="15"/>
  <c r="G338" i="15"/>
  <c r="N721" i="15"/>
  <c r="R721" i="15"/>
  <c r="P720" i="15" s="1"/>
  <c r="G721" i="15" s="1"/>
  <c r="N687" i="15"/>
  <c r="N350" i="15"/>
  <c r="L716" i="15"/>
  <c r="L717" i="15"/>
  <c r="K717" i="15"/>
  <c r="N378" i="15"/>
  <c r="G378" i="15"/>
  <c r="AB763" i="15"/>
  <c r="AB761" i="15"/>
  <c r="AB762" i="15"/>
  <c r="T876" i="15"/>
  <c r="T747" i="15"/>
  <c r="T707" i="15"/>
  <c r="T713" i="15"/>
  <c r="T731" i="15"/>
  <c r="T701" i="15"/>
  <c r="T685" i="15"/>
  <c r="T739" i="15"/>
  <c r="T721" i="15"/>
  <c r="T729" i="15"/>
  <c r="T715" i="15"/>
  <c r="T723" i="15"/>
  <c r="T677" i="15"/>
  <c r="T693" i="15"/>
  <c r="T687" i="15"/>
  <c r="T679" i="15"/>
  <c r="T695" i="15"/>
  <c r="T681" i="15"/>
  <c r="T683" i="15"/>
  <c r="T709" i="15"/>
  <c r="T727" i="15"/>
  <c r="T733" i="15"/>
  <c r="T671" i="15"/>
  <c r="T697" i="15"/>
  <c r="T711" i="15"/>
  <c r="T705" i="15"/>
  <c r="T691" i="15"/>
  <c r="T743" i="15"/>
  <c r="T725" i="15"/>
  <c r="T745" i="15"/>
  <c r="T719" i="15"/>
  <c r="T675" i="15"/>
  <c r="T735" i="15"/>
  <c r="T689" i="15"/>
  <c r="T673" i="15"/>
  <c r="T741" i="15"/>
  <c r="T737" i="15"/>
  <c r="T717" i="15"/>
  <c r="T703" i="15"/>
  <c r="T699" i="15"/>
  <c r="T749" i="15"/>
  <c r="N344" i="15"/>
  <c r="G344" i="15"/>
  <c r="Y1161" i="15"/>
  <c r="Y1145" i="15"/>
  <c r="Y1149" i="15"/>
  <c r="Y1117" i="15"/>
  <c r="Y1129" i="15"/>
  <c r="Y1103" i="15"/>
  <c r="Y1163" i="15"/>
  <c r="Y1131" i="15"/>
  <c r="Y1093" i="15"/>
  <c r="Y1095" i="15"/>
  <c r="Y1165" i="15"/>
  <c r="Y1115" i="15"/>
  <c r="Y1137" i="15"/>
  <c r="Y1091" i="15"/>
  <c r="Y1113" i="15"/>
  <c r="Y1133" i="15"/>
  <c r="Y1121" i="15"/>
  <c r="Y1119" i="15"/>
  <c r="Y1147" i="15"/>
  <c r="Y1153" i="15"/>
  <c r="Y1111" i="15"/>
  <c r="Y1107" i="15"/>
  <c r="Y1135" i="15"/>
  <c r="Y1151" i="15"/>
  <c r="Y1157" i="15"/>
  <c r="Y1169" i="15"/>
  <c r="Y1105" i="15"/>
  <c r="Y1155" i="15"/>
  <c r="Y1125" i="15"/>
  <c r="Y1099" i="15"/>
  <c r="Y1109" i="15"/>
  <c r="Y1143" i="15"/>
  <c r="Y1127" i="15"/>
  <c r="Y1167" i="15"/>
  <c r="Y1141" i="15"/>
  <c r="Y1159" i="15"/>
  <c r="Y1097" i="15"/>
  <c r="Y1139" i="15"/>
  <c r="Y1123" i="15"/>
  <c r="Y1101" i="15"/>
  <c r="N334" i="15"/>
  <c r="G334" i="15"/>
  <c r="T540" i="15"/>
  <c r="T524" i="15"/>
  <c r="T488" i="15"/>
  <c r="T472" i="15"/>
  <c r="T538" i="15"/>
  <c r="T506" i="15"/>
  <c r="T502" i="15"/>
  <c r="T500" i="15"/>
  <c r="T484" i="15"/>
  <c r="T468" i="15"/>
  <c r="T496" i="15"/>
  <c r="T480" i="15"/>
  <c r="T518" i="15"/>
  <c r="T522" i="15"/>
  <c r="T508" i="15"/>
  <c r="T498" i="15"/>
  <c r="T466" i="15"/>
  <c r="T482" i="15"/>
  <c r="T470" i="15"/>
  <c r="T494" i="15"/>
  <c r="T504" i="15"/>
  <c r="T536" i="15"/>
  <c r="T510" i="15"/>
  <c r="T486" i="15"/>
  <c r="T526" i="15"/>
  <c r="T478" i="15"/>
  <c r="T516" i="15"/>
  <c r="T474" i="15"/>
  <c r="T520" i="15"/>
  <c r="T542" i="15"/>
  <c r="T544" i="15"/>
  <c r="T514" i="15"/>
  <c r="T490" i="15"/>
  <c r="T528" i="15"/>
  <c r="T492" i="15"/>
  <c r="T532" i="15"/>
  <c r="T476" i="15"/>
  <c r="T534" i="15"/>
  <c r="T530" i="15"/>
  <c r="T512" i="15"/>
  <c r="L734" i="15"/>
  <c r="L735" i="15"/>
  <c r="K735" i="15"/>
  <c r="X1163" i="15"/>
  <c r="X1147" i="15"/>
  <c r="X1161" i="15"/>
  <c r="X1131" i="15"/>
  <c r="X1119" i="15"/>
  <c r="X1149" i="15"/>
  <c r="X1117" i="15"/>
  <c r="X1103" i="15"/>
  <c r="X1167" i="15"/>
  <c r="X1115" i="15"/>
  <c r="X1135" i="15"/>
  <c r="X1151" i="15"/>
  <c r="X1093" i="15"/>
  <c r="X1105" i="15"/>
  <c r="X1095" i="15"/>
  <c r="X1133" i="15"/>
  <c r="X1101" i="15"/>
  <c r="AB1123" i="15"/>
  <c r="X1097" i="15"/>
  <c r="X1165" i="15"/>
  <c r="X1107" i="15"/>
  <c r="X1139" i="15"/>
  <c r="X1157" i="15"/>
  <c r="X1109" i="15"/>
  <c r="X1111" i="15"/>
  <c r="X1143" i="15"/>
  <c r="X1159" i="15"/>
  <c r="X1099" i="15"/>
  <c r="X1091" i="15"/>
  <c r="X1113" i="15"/>
  <c r="X1169" i="15"/>
  <c r="X1121" i="15"/>
  <c r="X1145" i="15"/>
  <c r="X1123" i="15"/>
  <c r="X1155" i="15"/>
  <c r="X1141" i="15"/>
  <c r="X1153" i="15"/>
  <c r="X1127" i="15"/>
  <c r="X1129" i="15"/>
  <c r="X1125" i="15"/>
  <c r="AB1086" i="15"/>
  <c r="X1137" i="15"/>
  <c r="T771" i="15"/>
  <c r="T639" i="15"/>
  <c r="T623" i="15"/>
  <c r="T645" i="15"/>
  <c r="T631" i="15"/>
  <c r="T615" i="15"/>
  <c r="T647" i="15"/>
  <c r="T613" i="15"/>
  <c r="T607" i="15"/>
  <c r="T591" i="15"/>
  <c r="T575" i="15"/>
  <c r="T629" i="15"/>
  <c r="T573" i="15"/>
  <c r="T625" i="15"/>
  <c r="T605" i="15"/>
  <c r="T589" i="15"/>
  <c r="T641" i="15"/>
  <c r="T597" i="15"/>
  <c r="T593" i="15"/>
  <c r="T627" i="15"/>
  <c r="T633" i="15"/>
  <c r="T583" i="15"/>
  <c r="T609" i="15"/>
  <c r="T611" i="15"/>
  <c r="T635" i="15"/>
  <c r="T581" i="15"/>
  <c r="T585" i="15"/>
  <c r="T603" i="15"/>
  <c r="T621" i="15"/>
  <c r="T601" i="15"/>
  <c r="T571" i="15"/>
  <c r="T619" i="15"/>
  <c r="T599" i="15"/>
  <c r="T577" i="15"/>
  <c r="T643" i="15"/>
  <c r="T637" i="15"/>
  <c r="T579" i="15"/>
  <c r="T595" i="15"/>
  <c r="T617" i="15"/>
  <c r="T569" i="15"/>
  <c r="T587" i="15"/>
  <c r="N356" i="15"/>
  <c r="G356" i="15"/>
  <c r="AA1165" i="15"/>
  <c r="AA1163" i="15"/>
  <c r="AA1147" i="15"/>
  <c r="AA1145" i="15"/>
  <c r="AA1127" i="15"/>
  <c r="AA1115" i="15"/>
  <c r="AA1159" i="15"/>
  <c r="AA1113" i="15"/>
  <c r="AA1095" i="15"/>
  <c r="AA1133" i="15"/>
  <c r="AA1149" i="15"/>
  <c r="AA1091" i="15"/>
  <c r="AA1103" i="15"/>
  <c r="AA1141" i="15"/>
  <c r="AA1131" i="15"/>
  <c r="AA1161" i="15"/>
  <c r="AA1117" i="15"/>
  <c r="AA1129" i="15"/>
  <c r="AA1119" i="15"/>
  <c r="AA1125" i="15"/>
  <c r="AA1167" i="15"/>
  <c r="AA1123" i="15"/>
  <c r="AA1101" i="15"/>
  <c r="AA1111" i="15"/>
  <c r="AA1169" i="15"/>
  <c r="AA1153" i="15"/>
  <c r="AA1139" i="15"/>
  <c r="AA1093" i="15"/>
  <c r="AA1107" i="15"/>
  <c r="AA1135" i="15"/>
  <c r="AA1097" i="15"/>
  <c r="AA1137" i="15"/>
  <c r="AA1143" i="15"/>
  <c r="AA1151" i="15"/>
  <c r="AA1121" i="15"/>
  <c r="AA1109" i="15"/>
  <c r="AA1155" i="15"/>
  <c r="AA1099" i="15"/>
  <c r="AA1157" i="15"/>
  <c r="AA1105" i="15"/>
  <c r="N671" i="15"/>
  <c r="R671" i="15"/>
  <c r="P670" i="15" s="1"/>
  <c r="G671" i="15" s="1"/>
  <c r="C44" i="11"/>
  <c r="J45" i="11"/>
  <c r="S860" i="15" l="1"/>
  <c r="S862" i="15"/>
  <c r="S858" i="15"/>
  <c r="S864" i="15"/>
  <c r="S856" i="15"/>
  <c r="D40" i="10"/>
  <c r="D41" i="10" s="1"/>
  <c r="D42" i="10" s="1"/>
  <c r="T858" i="15"/>
  <c r="T856" i="15"/>
  <c r="T864" i="15"/>
  <c r="T862" i="15"/>
  <c r="T860" i="15"/>
  <c r="G657" i="15"/>
  <c r="G544" i="15"/>
  <c r="G651" i="15"/>
  <c r="P752" i="15"/>
  <c r="G753" i="15" s="1"/>
  <c r="P722" i="15"/>
  <c r="G723" i="15" s="1"/>
  <c r="AB1176" i="15"/>
  <c r="T961" i="15"/>
  <c r="T965" i="15"/>
  <c r="T963" i="15"/>
  <c r="T969" i="15"/>
  <c r="T967" i="15"/>
  <c r="S967" i="15"/>
  <c r="S969" i="15"/>
  <c r="G969" i="15" s="1"/>
  <c r="S961" i="15"/>
  <c r="S963" i="15"/>
  <c r="S965" i="15"/>
  <c r="AB1178" i="15"/>
  <c r="AB1172" i="15"/>
  <c r="AB1180" i="15"/>
  <c r="AB1174" i="15"/>
  <c r="R749" i="15"/>
  <c r="P748" i="15" s="1"/>
  <c r="G749" i="15" s="1"/>
  <c r="R725" i="15"/>
  <c r="P724" i="15" s="1"/>
  <c r="G725" i="15" s="1"/>
  <c r="N679" i="15"/>
  <c r="R679" i="15"/>
  <c r="P678" i="15" s="1"/>
  <c r="G679" i="15" s="1"/>
  <c r="G494" i="15"/>
  <c r="N733" i="15"/>
  <c r="P732" i="15"/>
  <c r="G733" i="15" s="1"/>
  <c r="G597" i="15"/>
  <c r="G577" i="15"/>
  <c r="G627" i="15"/>
  <c r="G524" i="15"/>
  <c r="G474" i="15"/>
  <c r="N747" i="15"/>
  <c r="AB1009" i="15"/>
  <c r="R747" i="15"/>
  <c r="P746" i="15" s="1"/>
  <c r="G747" i="15" s="1"/>
  <c r="N731" i="15"/>
  <c r="N675" i="15"/>
  <c r="R675" i="15"/>
  <c r="P674" i="15" s="1"/>
  <c r="G675" i="15" s="1"/>
  <c r="N735" i="15"/>
  <c r="R735" i="15"/>
  <c r="P734" i="15" s="1"/>
  <c r="G735" i="15" s="1"/>
  <c r="AB972" i="15"/>
  <c r="N709" i="15"/>
  <c r="R709" i="15"/>
  <c r="P708" i="15" s="1"/>
  <c r="G709" i="15" s="1"/>
  <c r="T945" i="15"/>
  <c r="T931" i="15"/>
  <c r="T955" i="15"/>
  <c r="T947" i="15"/>
  <c r="T941" i="15"/>
  <c r="T909" i="15"/>
  <c r="T929" i="15"/>
  <c r="T915" i="15"/>
  <c r="T901" i="15"/>
  <c r="T883" i="15"/>
  <c r="T939" i="15"/>
  <c r="T881" i="15"/>
  <c r="T917" i="15"/>
  <c r="T899" i="15"/>
  <c r="T889" i="15"/>
  <c r="T903" i="15"/>
  <c r="T907" i="15"/>
  <c r="T943" i="15"/>
  <c r="T893" i="15"/>
  <c r="T885" i="15"/>
  <c r="T935" i="15"/>
  <c r="T923" i="15"/>
  <c r="T887" i="15"/>
  <c r="T927" i="15"/>
  <c r="T957" i="15"/>
  <c r="T959" i="15"/>
  <c r="T897" i="15"/>
  <c r="T891" i="15"/>
  <c r="T905" i="15"/>
  <c r="T921" i="15"/>
  <c r="T919" i="15"/>
  <c r="T895" i="15"/>
  <c r="T911" i="15"/>
  <c r="T951" i="15"/>
  <c r="T953" i="15"/>
  <c r="T913" i="15"/>
  <c r="T933" i="15"/>
  <c r="T937" i="15"/>
  <c r="T949" i="15"/>
  <c r="T925" i="15"/>
  <c r="S980" i="15"/>
  <c r="S854" i="15"/>
  <c r="G854" i="15" s="1"/>
  <c r="S832" i="15"/>
  <c r="S846" i="15"/>
  <c r="S824" i="15"/>
  <c r="S852" i="15"/>
  <c r="S818" i="15"/>
  <c r="S802" i="15"/>
  <c r="S786" i="15"/>
  <c r="S804" i="15"/>
  <c r="G804" i="15" s="1"/>
  <c r="S790" i="15"/>
  <c r="S806" i="15"/>
  <c r="S784" i="15"/>
  <c r="S834" i="15"/>
  <c r="S822" i="15"/>
  <c r="S850" i="15"/>
  <c r="S788" i="15"/>
  <c r="S800" i="15"/>
  <c r="S820" i="15"/>
  <c r="S814" i="15"/>
  <c r="S830" i="15"/>
  <c r="S838" i="15"/>
  <c r="G838" i="15" s="1"/>
  <c r="S782" i="15"/>
  <c r="S836" i="15"/>
  <c r="S776" i="15"/>
  <c r="S810" i="15"/>
  <c r="S780" i="15"/>
  <c r="S796" i="15"/>
  <c r="S812" i="15"/>
  <c r="S828" i="15"/>
  <c r="S844" i="15"/>
  <c r="S816" i="15"/>
  <c r="S794" i="15"/>
  <c r="S792" i="15"/>
  <c r="S808" i="15"/>
  <c r="S826" i="15"/>
  <c r="S842" i="15"/>
  <c r="S840" i="15"/>
  <c r="S798" i="15"/>
  <c r="S848" i="15"/>
  <c r="G848" i="15" s="1"/>
  <c r="S778" i="15"/>
  <c r="D32" i="10" s="1"/>
  <c r="N697" i="15"/>
  <c r="R697" i="15"/>
  <c r="P696" i="15" s="1"/>
  <c r="G697" i="15" s="1"/>
  <c r="N681" i="15"/>
  <c r="R681" i="15"/>
  <c r="S947" i="15"/>
  <c r="S931" i="15"/>
  <c r="S939" i="15"/>
  <c r="S955" i="15"/>
  <c r="S953" i="15"/>
  <c r="S915" i="15"/>
  <c r="S937" i="15"/>
  <c r="S901" i="15"/>
  <c r="S883" i="15"/>
  <c r="S943" i="15"/>
  <c r="S913" i="15"/>
  <c r="S881" i="15"/>
  <c r="S899" i="15"/>
  <c r="S917" i="15"/>
  <c r="S903" i="15"/>
  <c r="S919" i="15"/>
  <c r="S951" i="15"/>
  <c r="S893" i="15"/>
  <c r="S921" i="15"/>
  <c r="S949" i="15"/>
  <c r="S911" i="15"/>
  <c r="S909" i="15"/>
  <c r="G909" i="15" s="1"/>
  <c r="S945" i="15"/>
  <c r="S897" i="15"/>
  <c r="S895" i="15"/>
  <c r="S907" i="15"/>
  <c r="S891" i="15"/>
  <c r="S923" i="15"/>
  <c r="S885" i="15"/>
  <c r="S927" i="15"/>
  <c r="S933" i="15"/>
  <c r="S905" i="15"/>
  <c r="S929" i="15"/>
  <c r="S887" i="15"/>
  <c r="S935" i="15"/>
  <c r="S925" i="15"/>
  <c r="S957" i="15"/>
  <c r="S959" i="15"/>
  <c r="G959" i="15" s="1"/>
  <c r="S941" i="15"/>
  <c r="S889" i="15"/>
  <c r="R743" i="15"/>
  <c r="P742" i="15" s="1"/>
  <c r="G743" i="15" s="1"/>
  <c r="N743" i="15"/>
  <c r="T980" i="15"/>
  <c r="T854" i="15"/>
  <c r="T834" i="15"/>
  <c r="T852" i="15"/>
  <c r="T832" i="15"/>
  <c r="T848" i="15"/>
  <c r="T824" i="15"/>
  <c r="T808" i="15"/>
  <c r="T792" i="15"/>
  <c r="T776" i="15"/>
  <c r="T822" i="15"/>
  <c r="T818" i="15"/>
  <c r="T786" i="15"/>
  <c r="T850" i="15"/>
  <c r="T788" i="15"/>
  <c r="T820" i="15"/>
  <c r="T804" i="15"/>
  <c r="T802" i="15"/>
  <c r="T814" i="15"/>
  <c r="T810" i="15"/>
  <c r="T830" i="15"/>
  <c r="T840" i="15"/>
  <c r="T828" i="15"/>
  <c r="T794" i="15"/>
  <c r="T782" i="15"/>
  <c r="T778" i="15"/>
  <c r="D33" i="10" s="1"/>
  <c r="T812" i="15"/>
  <c r="T790" i="15"/>
  <c r="T784" i="15"/>
  <c r="T846" i="15"/>
  <c r="T798" i="15"/>
  <c r="T800" i="15"/>
  <c r="T826" i="15"/>
  <c r="T806" i="15"/>
  <c r="T838" i="15"/>
  <c r="T844" i="15"/>
  <c r="T842" i="15"/>
  <c r="T816" i="15"/>
  <c r="T796" i="15"/>
  <c r="T836" i="15"/>
  <c r="T780" i="15"/>
  <c r="N717" i="15"/>
  <c r="R717" i="15"/>
  <c r="P716" i="15" s="1"/>
  <c r="G717" i="15" s="1"/>
  <c r="N673" i="15"/>
  <c r="R673" i="15"/>
  <c r="P672" i="15" s="1"/>
  <c r="G673" i="15" s="1"/>
  <c r="N741" i="15"/>
  <c r="R741" i="15"/>
  <c r="P740" i="15" s="1"/>
  <c r="G741" i="15" s="1"/>
  <c r="N689" i="15"/>
  <c r="R689" i="15"/>
  <c r="P688" i="15" s="1"/>
  <c r="G689" i="15" s="1"/>
  <c r="C72" i="11"/>
  <c r="A13" i="10" s="1"/>
  <c r="C30" i="10" a="1"/>
  <c r="C30" i="10" s="1"/>
  <c r="P680" i="15" l="1"/>
  <c r="G681" i="15" s="1"/>
  <c r="G949" i="15"/>
  <c r="G828" i="15"/>
  <c r="S1079" i="15"/>
  <c r="S1172" i="15"/>
  <c r="S1075" i="15"/>
  <c r="S1081" i="15"/>
  <c r="S1176" i="15"/>
  <c r="S1180" i="15"/>
  <c r="S1174" i="15"/>
  <c r="S1178" i="15"/>
  <c r="S1077" i="15"/>
  <c r="S1083" i="15"/>
  <c r="G1083" i="15" s="1"/>
  <c r="T1079" i="15"/>
  <c r="T1075" i="15"/>
  <c r="T1081" i="15"/>
  <c r="T1083" i="15"/>
  <c r="T1077" i="15"/>
  <c r="G784" i="15"/>
  <c r="T1057" i="15"/>
  <c r="T1055" i="15"/>
  <c r="T1049" i="15"/>
  <c r="T1033" i="15"/>
  <c r="T1035" i="15"/>
  <c r="T1029" i="15"/>
  <c r="T1051" i="15"/>
  <c r="T1009" i="15"/>
  <c r="T1086" i="15"/>
  <c r="T1071" i="15"/>
  <c r="T1063" i="15"/>
  <c r="T1073" i="15"/>
  <c r="T1045" i="15"/>
  <c r="T1017" i="15"/>
  <c r="T1001" i="15"/>
  <c r="T991" i="15"/>
  <c r="T1021" i="15"/>
  <c r="T1007" i="15"/>
  <c r="T993" i="15"/>
  <c r="T1043" i="15"/>
  <c r="T985" i="15"/>
  <c r="T1027" i="15"/>
  <c r="T1011" i="15"/>
  <c r="T1023" i="15"/>
  <c r="T987" i="15"/>
  <c r="T995" i="15"/>
  <c r="T1015" i="15"/>
  <c r="T1019" i="15"/>
  <c r="T999" i="15"/>
  <c r="T1037" i="15"/>
  <c r="T1039" i="15"/>
  <c r="T1003" i="15"/>
  <c r="T1005" i="15"/>
  <c r="T1031" i="15"/>
  <c r="T1067" i="15"/>
  <c r="T1065" i="15"/>
  <c r="T1013" i="15"/>
  <c r="T1041" i="15"/>
  <c r="T1059" i="15"/>
  <c r="T989" i="15"/>
  <c r="T1053" i="15"/>
  <c r="T1061" i="15"/>
  <c r="T997" i="15"/>
  <c r="T1069" i="15"/>
  <c r="T1025" i="15"/>
  <c r="T1047" i="15"/>
  <c r="S1165" i="15"/>
  <c r="S1163" i="15"/>
  <c r="S1147" i="15"/>
  <c r="S1161" i="15"/>
  <c r="S1133" i="15"/>
  <c r="S1113" i="15"/>
  <c r="S1141" i="15"/>
  <c r="S1131" i="15"/>
  <c r="S1145" i="15"/>
  <c r="S1129" i="15"/>
  <c r="S1086" i="15"/>
  <c r="S1091" i="15"/>
  <c r="S1117" i="15"/>
  <c r="S1127" i="15"/>
  <c r="S1057" i="15"/>
  <c r="S1143" i="15"/>
  <c r="S1095" i="15"/>
  <c r="S1159" i="15"/>
  <c r="S1115" i="15"/>
  <c r="S1073" i="15"/>
  <c r="S1049" i="15"/>
  <c r="S1045" i="15"/>
  <c r="S1037" i="15"/>
  <c r="S1029" i="15"/>
  <c r="S1103" i="15"/>
  <c r="S1065" i="15"/>
  <c r="S1109" i="15"/>
  <c r="S993" i="15"/>
  <c r="S985" i="15"/>
  <c r="S1061" i="15"/>
  <c r="S1033" i="15"/>
  <c r="S1149" i="15"/>
  <c r="S1053" i="15"/>
  <c r="S1009" i="15"/>
  <c r="S1017" i="15"/>
  <c r="S1005" i="15"/>
  <c r="S1001" i="15"/>
  <c r="S989" i="15"/>
  <c r="S1023" i="15"/>
  <c r="S1099" i="15"/>
  <c r="S1013" i="15"/>
  <c r="S1011" i="15"/>
  <c r="S995" i="15"/>
  <c r="S1019" i="15"/>
  <c r="S1027" i="15"/>
  <c r="S1039" i="15"/>
  <c r="S1059" i="15"/>
  <c r="S1105" i="15"/>
  <c r="S1125" i="15"/>
  <c r="S1137" i="15"/>
  <c r="S997" i="15"/>
  <c r="S999" i="15"/>
  <c r="S1031" i="15"/>
  <c r="S1069" i="15"/>
  <c r="S1119" i="15"/>
  <c r="S1157" i="15"/>
  <c r="S1041" i="15"/>
  <c r="S1063" i="15"/>
  <c r="S1003" i="15"/>
  <c r="S1025" i="15"/>
  <c r="S1111" i="15"/>
  <c r="S1123" i="15"/>
  <c r="S1101" i="15"/>
  <c r="S1055" i="15"/>
  <c r="S1151" i="15"/>
  <c r="S1167" i="15"/>
  <c r="S987" i="15"/>
  <c r="S1043" i="15"/>
  <c r="S1015" i="15"/>
  <c r="S1007" i="15"/>
  <c r="S1021" i="15"/>
  <c r="S1047" i="15"/>
  <c r="S1153" i="15"/>
  <c r="S1035" i="15"/>
  <c r="S1071" i="15"/>
  <c r="S1093" i="15"/>
  <c r="S1139" i="15"/>
  <c r="S1067" i="15"/>
  <c r="S1097" i="15"/>
  <c r="S991" i="15"/>
  <c r="S1121" i="15"/>
  <c r="S1169" i="15"/>
  <c r="S1135" i="15"/>
  <c r="S1051" i="15"/>
  <c r="S1155" i="15"/>
  <c r="S1107" i="15"/>
  <c r="C29" i="10" a="1"/>
  <c r="C29" i="10" s="1"/>
  <c r="G1079" i="15" l="1"/>
  <c r="G1063" i="15"/>
  <c r="G1053" i="15"/>
  <c r="T1174" i="15"/>
  <c r="T1180" i="15"/>
  <c r="T1176" i="15"/>
  <c r="G1176" i="15" s="1"/>
  <c r="T1178" i="15"/>
  <c r="G1178" i="15" s="1"/>
  <c r="T1172" i="15"/>
  <c r="G993" i="15"/>
  <c r="T1117" i="15"/>
  <c r="T1163" i="15"/>
  <c r="T1161" i="15"/>
  <c r="T1145" i="15"/>
  <c r="T1113" i="15"/>
  <c r="T1157" i="15"/>
  <c r="T1141" i="15"/>
  <c r="T1131" i="15"/>
  <c r="T1127" i="15"/>
  <c r="T1159" i="15"/>
  <c r="T1107" i="15"/>
  <c r="T1103" i="15"/>
  <c r="T1093" i="15"/>
  <c r="T1129" i="15"/>
  <c r="T1147" i="15"/>
  <c r="T1115" i="15"/>
  <c r="T1109" i="15"/>
  <c r="T1123" i="15"/>
  <c r="T1153" i="15"/>
  <c r="T1139" i="15"/>
  <c r="T1149" i="15"/>
  <c r="T1097" i="15"/>
  <c r="T1091" i="15"/>
  <c r="T1095" i="15"/>
  <c r="T1143" i="15"/>
  <c r="T1137" i="15"/>
  <c r="T1167" i="15"/>
  <c r="T1133" i="15"/>
  <c r="T1165" i="15"/>
  <c r="T1121" i="15"/>
  <c r="T1169" i="15"/>
  <c r="T1135" i="15"/>
  <c r="T1151" i="15"/>
  <c r="T1125" i="15"/>
  <c r="T1101" i="15"/>
  <c r="T1155" i="15"/>
  <c r="T1111" i="15"/>
  <c r="T1105" i="15"/>
  <c r="T1119" i="15"/>
  <c r="T1099" i="15"/>
  <c r="C28" i="10" a="1"/>
  <c r="C28" i="10" s="1"/>
  <c r="G1180"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I14" i="3" s="1"/>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U16" i="3" s="1"/>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C24" i="3" s="1"/>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s="1"/>
  <c r="P14" i="3"/>
  <c r="Q14" i="3" s="1"/>
  <c r="S14" i="3"/>
  <c r="V14" i="3"/>
  <c r="Y14" i="3"/>
  <c r="Z14" i="3" s="1"/>
  <c r="AB14" i="3"/>
  <c r="AE14" i="3"/>
  <c r="AF14" i="3" s="1"/>
  <c r="AH14" i="3"/>
  <c r="AL14" i="3"/>
  <c r="AM14" i="3" s="1"/>
  <c r="AN14" i="3"/>
  <c r="AP14" i="3"/>
  <c r="AR14" i="3"/>
  <c r="AT14" i="3"/>
  <c r="AU14" i="3" s="1"/>
  <c r="AV14" i="3"/>
  <c r="AX14" i="3"/>
  <c r="AZ14" i="3"/>
  <c r="BB14" i="3"/>
  <c r="BC14" i="3" s="1"/>
  <c r="BD14" i="3"/>
  <c r="BF14" i="3"/>
  <c r="BH14" i="3"/>
  <c r="BJ14" i="3"/>
  <c r="BK14" i="3" s="1"/>
  <c r="BL14" i="3"/>
  <c r="BN14" i="3"/>
  <c r="BP14" i="3"/>
  <c r="BR14" i="3"/>
  <c r="BS14" i="3" s="1"/>
  <c r="BT14" i="3"/>
  <c r="BV14" i="3"/>
  <c r="BX14" i="3"/>
  <c r="BZ14" i="3"/>
  <c r="CA14" i="3" s="1"/>
  <c r="CB14" i="3"/>
  <c r="CD14" i="3"/>
  <c r="CF14" i="3"/>
  <c r="CH14" i="3"/>
  <c r="CJ14" i="3"/>
  <c r="CL14" i="3"/>
  <c r="CN14" i="3"/>
  <c r="CP14" i="3"/>
  <c r="CQ14" i="3" s="1"/>
  <c r="CR14" i="3"/>
  <c r="CT14" i="3"/>
  <c r="CU14" i="3" s="1"/>
  <c r="CV14" i="3"/>
  <c r="CX14" i="3"/>
  <c r="CZ14" i="3"/>
  <c r="DB14" i="3"/>
  <c r="DD14" i="3"/>
  <c r="DF14" i="3"/>
  <c r="DG14" i="3" s="1"/>
  <c r="DH14" i="3"/>
  <c r="DJ14" i="3"/>
  <c r="DL14" i="3"/>
  <c r="DN14" i="3"/>
  <c r="DP14" i="3"/>
  <c r="DR14" i="3"/>
  <c r="DT14" i="3"/>
  <c r="DV14" i="3"/>
  <c r="DW14" i="3" s="1"/>
  <c r="DX14" i="3"/>
  <c r="DZ14" i="3"/>
  <c r="EB14" i="3"/>
  <c r="ED14" i="3"/>
  <c r="EE14" i="3" s="1"/>
  <c r="EF14" i="3"/>
  <c r="EH14" i="3"/>
  <c r="EJ14" i="3"/>
  <c r="EL14" i="3"/>
  <c r="EM14" i="3" s="1"/>
  <c r="EN14" i="3"/>
  <c r="EP14" i="3"/>
  <c r="D15" i="3"/>
  <c r="G15" i="3"/>
  <c r="J15" i="3"/>
  <c r="K15" i="3" s="1"/>
  <c r="M15" i="3"/>
  <c r="P15" i="3"/>
  <c r="S15" i="3"/>
  <c r="T15" i="3" s="1"/>
  <c r="V15" i="3"/>
  <c r="Y15" i="3"/>
  <c r="Z15" i="3" s="1"/>
  <c r="AB15" i="3"/>
  <c r="AC15" i="3" s="1"/>
  <c r="AE15" i="3"/>
  <c r="AH15" i="3"/>
  <c r="AI15" i="3" s="1"/>
  <c r="AL15" i="3"/>
  <c r="AN15" i="3"/>
  <c r="AP15" i="3"/>
  <c r="AQ15" i="3" s="1"/>
  <c r="AR15" i="3"/>
  <c r="AT15" i="3"/>
  <c r="AV15" i="3"/>
  <c r="AX15" i="3"/>
  <c r="AZ15" i="3"/>
  <c r="BB15" i="3"/>
  <c r="BD15" i="3"/>
  <c r="BF15" i="3"/>
  <c r="BG15" i="3" s="1"/>
  <c r="BH15" i="3"/>
  <c r="BJ15" i="3"/>
  <c r="BL15" i="3"/>
  <c r="BN15" i="3"/>
  <c r="BP15" i="3"/>
  <c r="BR15" i="3"/>
  <c r="BT15" i="3"/>
  <c r="BV15" i="3"/>
  <c r="BW15" i="3" s="1"/>
  <c r="BX15" i="3"/>
  <c r="BZ15" i="3"/>
  <c r="CB15" i="3"/>
  <c r="CD15" i="3"/>
  <c r="CE15" i="3"/>
  <c r="CF15" i="3"/>
  <c r="CH15" i="3"/>
  <c r="CJ15" i="3"/>
  <c r="CL15" i="3"/>
  <c r="CM15" i="3" s="1"/>
  <c r="CN15" i="3"/>
  <c r="CP15" i="3"/>
  <c r="CR15" i="3"/>
  <c r="CT15" i="3"/>
  <c r="CU15" i="3" s="1"/>
  <c r="CV15" i="3"/>
  <c r="CX15" i="3"/>
  <c r="CZ15" i="3"/>
  <c r="DB15" i="3"/>
  <c r="DC15" i="3" s="1"/>
  <c r="DD15" i="3"/>
  <c r="DF15" i="3"/>
  <c r="DG15" i="3" s="1"/>
  <c r="DH15" i="3"/>
  <c r="DJ15" i="3"/>
  <c r="DK15" i="3" s="1"/>
  <c r="DL15" i="3"/>
  <c r="DN15" i="3"/>
  <c r="DP15" i="3"/>
  <c r="DR15" i="3"/>
  <c r="DS15" i="3" s="1"/>
  <c r="DT15" i="3"/>
  <c r="DV15" i="3"/>
  <c r="DX15" i="3"/>
  <c r="DZ15" i="3"/>
  <c r="EB15" i="3"/>
  <c r="ED15" i="3"/>
  <c r="EF15" i="3"/>
  <c r="EH15" i="3"/>
  <c r="EI15" i="3" s="1"/>
  <c r="EJ15" i="3"/>
  <c r="EL15" i="3"/>
  <c r="EN15" i="3"/>
  <c r="EP15" i="3"/>
  <c r="D16" i="3"/>
  <c r="E16" i="3" s="1"/>
  <c r="G16" i="3"/>
  <c r="J16" i="3"/>
  <c r="M16" i="3"/>
  <c r="N16" i="3"/>
  <c r="P16" i="3"/>
  <c r="S16" i="3"/>
  <c r="V16" i="3"/>
  <c r="W16" i="3" s="1"/>
  <c r="Y16" i="3"/>
  <c r="Z16" i="3" s="1"/>
  <c r="AB16" i="3"/>
  <c r="AC16" i="3"/>
  <c r="AE16" i="3"/>
  <c r="AH16" i="3"/>
  <c r="AI16" i="3" s="1"/>
  <c r="AL16" i="3"/>
  <c r="AM16" i="3" s="1"/>
  <c r="AN16" i="3"/>
  <c r="AP16" i="3"/>
  <c r="AR16" i="3"/>
  <c r="AT16" i="3"/>
  <c r="AV16" i="3"/>
  <c r="AX16" i="3"/>
  <c r="AZ16" i="3"/>
  <c r="BB16" i="3"/>
  <c r="BC16" i="3" s="1"/>
  <c r="BD16" i="3"/>
  <c r="BF16" i="3"/>
  <c r="BH16" i="3"/>
  <c r="BJ16" i="3"/>
  <c r="BL16" i="3"/>
  <c r="BN16" i="3"/>
  <c r="BP16" i="3"/>
  <c r="BR16" i="3"/>
  <c r="BS16" i="3" s="1"/>
  <c r="BT16" i="3"/>
  <c r="BV16" i="3"/>
  <c r="BW16" i="3" s="1"/>
  <c r="BX16" i="3"/>
  <c r="BZ16" i="3"/>
  <c r="CA16" i="3"/>
  <c r="CB16" i="3"/>
  <c r="CD16" i="3"/>
  <c r="CF16" i="3"/>
  <c r="CH16" i="3"/>
  <c r="CI16" i="3" s="1"/>
  <c r="CJ16" i="3"/>
  <c r="CL16" i="3"/>
  <c r="CN16" i="3"/>
  <c r="CP16" i="3"/>
  <c r="CQ16" i="3" s="1"/>
  <c r="CR16" i="3"/>
  <c r="CT16" i="3"/>
  <c r="CV16" i="3"/>
  <c r="CX16" i="3"/>
  <c r="CY16" i="3" s="1"/>
  <c r="CZ16" i="3"/>
  <c r="DB16" i="3"/>
  <c r="DD16" i="3"/>
  <c r="DF16" i="3"/>
  <c r="DG16" i="3" s="1"/>
  <c r="DH16" i="3"/>
  <c r="DJ16" i="3"/>
  <c r="DL16" i="3"/>
  <c r="DN16" i="3"/>
  <c r="DO16" i="3" s="1"/>
  <c r="DP16" i="3"/>
  <c r="DR16" i="3"/>
  <c r="DT16" i="3"/>
  <c r="DV16" i="3"/>
  <c r="DX16" i="3"/>
  <c r="DZ16" i="3"/>
  <c r="EB16" i="3"/>
  <c r="ED16" i="3"/>
  <c r="EE16" i="3" s="1"/>
  <c r="EF16" i="3"/>
  <c r="EH16" i="3"/>
  <c r="EI16" i="3"/>
  <c r="EJ16" i="3"/>
  <c r="EL16" i="3"/>
  <c r="EM16" i="3" s="1"/>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D24" i="3"/>
  <c r="BF24" i="3"/>
  <c r="BG24" i="3" s="1"/>
  <c r="BH24" i="3"/>
  <c r="BJ24" i="3"/>
  <c r="BL24" i="3"/>
  <c r="BN24" i="3"/>
  <c r="BO24" i="3" s="1"/>
  <c r="BP24" i="3"/>
  <c r="BR24" i="3"/>
  <c r="BT24" i="3"/>
  <c r="BV24" i="3"/>
  <c r="BW24" i="3" s="1"/>
  <c r="BX24" i="3"/>
  <c r="BZ24" i="3"/>
  <c r="CA24" i="3" s="1"/>
  <c r="CB24" i="3"/>
  <c r="CD24" i="3"/>
  <c r="CE24" i="3" s="1"/>
  <c r="CF24" i="3"/>
  <c r="CH24" i="3"/>
  <c r="CJ24" i="3"/>
  <c r="CL24" i="3"/>
  <c r="CM24" i="3" s="1"/>
  <c r="CN24" i="3"/>
  <c r="CP24" i="3"/>
  <c r="CR24" i="3"/>
  <c r="CT24" i="3"/>
  <c r="CU24" i="3" s="1"/>
  <c r="CV24" i="3"/>
  <c r="CX24" i="3"/>
  <c r="CZ24" i="3"/>
  <c r="DB24" i="3"/>
  <c r="DC24" i="3" s="1"/>
  <c r="DD24" i="3"/>
  <c r="DF24" i="3"/>
  <c r="DG24" i="3" s="1"/>
  <c r="DH24" i="3"/>
  <c r="DJ24" i="3"/>
  <c r="DK24" i="3" s="1"/>
  <c r="DL24" i="3"/>
  <c r="DN24" i="3"/>
  <c r="DP24" i="3"/>
  <c r="DR24" i="3"/>
  <c r="DS24" i="3"/>
  <c r="DT24" i="3"/>
  <c r="DV24" i="3"/>
  <c r="DX24" i="3"/>
  <c r="DZ24" i="3"/>
  <c r="EA24" i="3" s="1"/>
  <c r="EB24" i="3"/>
  <c r="ED24" i="3"/>
  <c r="EF24" i="3"/>
  <c r="EH24" i="3"/>
  <c r="EI24" i="3" s="1"/>
  <c r="EJ24" i="3"/>
  <c r="EL24" i="3"/>
  <c r="EN24" i="3"/>
  <c r="EP24" i="3"/>
  <c r="EQ24" i="3" s="1"/>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Y29" i="3" s="1"/>
  <c r="AZ29" i="3"/>
  <c r="BB29" i="3"/>
  <c r="BC29" i="3" s="1"/>
  <c r="BD29" i="3"/>
  <c r="BF29" i="3"/>
  <c r="BH29" i="3"/>
  <c r="BJ29" i="3"/>
  <c r="BK29" i="3" s="1"/>
  <c r="BL29" i="3"/>
  <c r="BN29" i="3"/>
  <c r="BP29" i="3"/>
  <c r="BR29" i="3"/>
  <c r="BS29" i="3" s="1"/>
  <c r="BT29" i="3"/>
  <c r="BV29" i="3"/>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s="1"/>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CU16" i="3" l="1"/>
  <c r="DW16" i="3"/>
  <c r="BO15" i="3"/>
  <c r="AY15" i="3"/>
  <c r="AF15" i="3"/>
  <c r="H15" i="3"/>
  <c r="DO14" i="3"/>
  <c r="CY14" i="3"/>
  <c r="DO24" i="3"/>
  <c r="BK16" i="3"/>
  <c r="BW29" i="3"/>
  <c r="BG29" i="3"/>
  <c r="EQ15" i="3"/>
  <c r="EA15" i="3"/>
  <c r="AM15"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<sst xmlns="http://schemas.openxmlformats.org/spreadsheetml/2006/main" count="1963" uniqueCount="335">
  <si>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</si>
  <si>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</si>
  <si>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</si>
  <si>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</si>
  <si>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</si>
  <si>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</si>
  <si>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</si>
  <si>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</si>
  <si>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</si>
  <si>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</si>
  <si>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</si>
  <si>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</si>
  <si>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</si>
  <si>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</si>
  <si>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</si>
  <si>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</si>
  <si>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</si>
  <si>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</si>
  <si>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</si>
  <si>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</si>
  <si>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</si>
  <si>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</si>
  <si>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</si>
  <si>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</si>
  <si>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</si>
  <si>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</si>
  <si>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</si>
  <si>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</si>
  <si>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</si>
  <si>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</si>
  <si>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</si>
  <si>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</si>
  <si>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</si>
  <si>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</si>
  <si>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</si>
  <si>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</si>
  <si>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</si>
  <si>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</si>
  <si>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</si>
  <si>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</si>
  <si>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</si>
  <si>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</si>
  <si>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</si>
  <si>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</si>
  <si>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</si>
  <si>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</si>
  <si>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</si>
  <si>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</si>
  <si>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</si>
  <si>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</si>
  <si>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</si>
  <si>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</si>
  <si>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</si>
  <si>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</si>
  <si>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</si>
  <si>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</si>
  <si>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</si>
  <si>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</si>
  <si>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</si>
  <si>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</si>
  <si>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</si>
  <si>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</si>
  <si>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</si>
  <si>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</si>
  <si>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</si>
  <si>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</si>
  <si>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</si>
  <si>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</si>
  <si>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</si>
  <si>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</si>
  <si>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</si>
  <si>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</si>
  <si>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</si>
  <si>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</si>
  <si>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</si>
  <si>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</si>
  <si>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</si>
  <si>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</si>
  <si>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</si>
  <si>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</si>
  <si>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</si>
  <si>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</si>
  <si>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</si>
  <si>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</si>
  <si>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</si>
  <si>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</si>
  <si>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</si>
  <si>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</si>
  <si>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</si>
  <si>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</si>
  <si>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</si>
  <si>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</si>
  <si>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</si>
  <si>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</si>
  <si>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</si>
  <si>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</si>
  <si>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</si>
  <si>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</si>
  <si>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</si>
  <si>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</si>
  <si>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</si>
  <si>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</si>
  <si>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</si>
  <si>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</si>
  <si>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</si>
  <si>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</si>
  <si>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</si>
  <si>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</si>
  <si>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</si>
  <si>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</si>
  <si>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</si>
  <si>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</si>
  <si>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</si>
  <si>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</si>
  <si>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</si>
  <si>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</si>
  <si>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</si>
  <si>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</si>
  <si>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</si>
  <si>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</si>
  <si>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</si>
  <si>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</si>
  <si>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</si>
  <si>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</si>
  <si>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</si>
  <si>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</si>
  <si>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</si>
  <si>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</si>
  <si>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</si>
  <si>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</si>
  <si>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</si>
  <si>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</si>
  <si>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</si>
  <si>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</si>
  <si>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</si>
  <si>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</si>
  <si>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</si>
  <si>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</si>
  <si>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</si>
  <si>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</si>
  <si>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</si>
  <si>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</si>
  <si>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</si>
  <si>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</si>
  <si>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</si>
  <si>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</si>
  <si>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</si>
  <si>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</si>
  <si>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</si>
  <si>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</si>
  <si>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</si>
  <si>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</si>
  <si>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</si>
  <si>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</si>
  <si>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</si>
  <si>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</si>
  <si>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</si>
  <si>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</si>
  <si>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</si>
  <si>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</si>
  <si>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</si>
  <si>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</si>
  <si>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</si>
  <si>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</si>
  <si>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</si>
  <si>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</si>
  <si>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</si>
  <si>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</si>
  <si>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</si>
  <si>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</si>
  <si>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</si>
  <si>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</si>
  <si>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</si>
  <si>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</si>
  <si>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</si>
  <si>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</si>
  <si>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</si>
  <si>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</si>
  <si>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</si>
  <si>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</si>
  <si>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</si>
  <si>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</si>
  <si>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</si>
  <si>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</si>
  <si>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</si>
  <si>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</si>
  <si>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</si>
  <si>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</si>
  <si>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</si>
  <si>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</si>
  <si>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</si>
  <si>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</si>
  <si>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</si>
  <si>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</si>
  <si>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</si>
  <si>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</si>
  <si>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</si>
  <si>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</si>
  <si>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</si>
  <si>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</si>
  <si>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</si>
  <si>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</si>
  <si>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</si>
  <si>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</si>
  <si>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</si>
  <si>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</si>
  <si>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</si>
  <si>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</si>
  <si>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</si>
  <si>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</si>
  <si>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</si>
  <si>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</si>
  <si>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</si>
  <si>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</si>
  <si>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</si>
  <si>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</si>
  <si>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</si>
  <si>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</si>
  <si>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</si>
  <si>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</si>
  <si>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</si>
  <si>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</si>
  <si>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</si>
  <si>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</si>
  <si>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</si>
  <si>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</si>
  <si>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</si>
  <si>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</si>
  <si>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</si>
  <si>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</si>
  <si>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</si>
  <si>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</si>
  <si>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</si>
  <si>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</si>
  <si>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</si>
  <si>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</si>
  <si>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</si>
  <si>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</si>
  <si>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</si>
  <si>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</si>
  <si>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</si>
  <si>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</si>
  <si>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</si>
  <si>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</si>
  <si>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</si>
  <si>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</si>
  <si>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</si>
  <si>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</si>
  <si>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</si>
  <si>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</si>
  <si>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</si>
  <si>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</si>
  <si>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</si>
  <si>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</si>
  <si>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</si>
  <si>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</si>
  <si>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</si>
  <si>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</si>
  <si>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</si>
  <si>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</si>
  <si>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</si>
  <si>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</si>
  <si>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</si>
  <si>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</si>
  <si>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</si>
  <si>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</si>
  <si>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</si>
  <si>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</si>
  <si>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</si>
  <si>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</si>
  <si>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</si>
  <si>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</si>
  <si>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</si>
  <si>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</si>
  <si>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</si>
  <si>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</si>
  <si>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</si>
  <si>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</si>
  <si>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</si>
  <si>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</si>
  <si>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</si>
  <si>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</si>
  <si>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</si>
  <si>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</si>
  <si>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</si>
  <si>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</si>
  <si>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</si>
  <si>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</si>
  <si>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</si>
  <si>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</si>
  <si>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</si>
  <si>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</si>
  <si>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January 2024 billing cycle. If valid, please use AES Indiana's January 2024 monthly bill calculator to calculate your bill for the entered dates.</t>
  </si>
  <si>
    <t>Please check the dates you entered. The dates you entered are valid for the February 2024 billing cycle. If valid, please use AES Indiana's February 2024 monthly bill calculator to calculate your bill for the entered dates.</t>
  </si>
  <si>
    <t>Please check the dates you entered. The dates you entered are valid for the March 2024 billing cycle. If valid, please use AES Indiana's March 2024 monthly bill calculator to calculate your bill for the entered dates.</t>
  </si>
  <si>
    <t>Please check the dates you entered. The dates you entered are valid for the April 2024 billing cycle. If valid, please use AES Indiana's April 2024 monthly bill calculator to calculate your bill for the entered dates.</t>
  </si>
  <si>
    <t>AES Indiana does not offer a monthly bill calculator for the dates you entered. Please enter your billing period dates for the February 2024 billing cycle. Please use the "INPUT 1" and "INPUT 2" links for assistance locating the relevant billing period on your bill.</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</si>
  <si>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</si>
  <si>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</si>
  <si>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</si>
  <si>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</si>
  <si>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</si>
  <si>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</si>
  <si>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</si>
  <si>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</si>
  <si>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</si>
  <si>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</si>
  <si>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</si>
  <si>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</si>
  <si>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</si>
  <si>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</si>
  <si>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</si>
  <si>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</si>
  <si>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</si>
  <si>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</si>
  <si>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</si>
  <si>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</si>
  <si>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Amount</t>
  </si>
  <si>
    <t>Please check the dates you entered. The dates you entered are valid for the June 2024 billing cycle. If valid, please use AES Indiana's June 2024 monthly bill calculator to calculate your bill for the entered dates.</t>
  </si>
  <si>
    <t>Please check the dates you entered. The dates you entered are valid for the May 2024 billing cycle. If valid, please use AES Indiana's May 2024 monthly bill calculator to calculate your bill for the entered dates.</t>
  </si>
  <si>
    <t>July 2024 Monthly Bill Calculator</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</si>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</sst>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1"/>
      <name val="Calibri"/>
      <family val="2"/>
    </font>
    <font>
      <sz val="10"/>
      <name val="Verdana"/>
      <family val="2"/>
    </font>
    <font>
      <sz val="10"/>
      <color theme="1"/>
      <name val="Arial"/>
      <family val="2"/>
    </font>
    <font>
      <sz val="6.5"/>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5"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3">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0" fontId="24" fillId="0" borderId="0" xfId="0" applyFont="1"/>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5" fillId="0" borderId="0" xfId="24"/>
    <xf numFmtId="167" fontId="7" fillId="0" borderId="0" xfId="25" applyNumberFormat="1" applyFont="1" applyFill="1"/>
    <xf numFmtId="167" fontId="7" fillId="0" borderId="0" xfId="25" applyNumberFormat="1" applyFont="1"/>
    <xf numFmtId="167" fontId="25"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6" fillId="0" borderId="0" xfId="27" applyFont="1" applyAlignment="1">
      <alignment horizontal="right" vertical="center"/>
    </xf>
    <xf numFmtId="0" fontId="25" fillId="0" borderId="2" xfId="24" applyBorder="1"/>
    <xf numFmtId="167" fontId="25" fillId="0" borderId="2" xfId="24" applyNumberFormat="1" applyBorder="1"/>
    <xf numFmtId="0" fontId="21" fillId="0" borderId="0" xfId="12" applyFont="1" applyBorder="1" applyAlignment="1" applyProtection="1">
      <alignment horizontal="center" vertical="center"/>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3" fillId="5" borderId="7" xfId="0" applyFont="1" applyFill="1" applyBorder="1" applyAlignment="1" applyProtection="1">
      <alignment horizontal="center"/>
      <protection locked="0"/>
    </xf>
    <xf numFmtId="0" fontId="18" fillId="4" borderId="11" xfId="0" applyFont="1" applyFill="1" applyBorder="1" applyAlignment="1" applyProtection="1">
      <alignment horizontal="center" vertical="top" wrapText="1"/>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27" fillId="0" borderId="3" xfId="0" applyFont="1" applyBorder="1" applyAlignment="1" applyProtection="1">
      <alignment horizontal="left" wrapText="1"/>
      <protection hidden="1"/>
    </xf>
    <xf numFmtId="0" fontId="27" fillId="0" borderId="4" xfId="0" applyFont="1" applyBorder="1" applyAlignment="1" applyProtection="1">
      <alignment horizontal="left" wrapText="1"/>
      <protection hidden="1"/>
    </xf>
    <xf numFmtId="0" fontId="27" fillId="0" borderId="5" xfId="0" applyFont="1" applyBorder="1" applyAlignment="1" applyProtection="1">
      <alignment horizontal="left" wrapText="1"/>
      <protection hidden="1"/>
    </xf>
    <xf numFmtId="0" fontId="27" fillId="0" borderId="6" xfId="0" applyFont="1" applyBorder="1" applyAlignment="1" applyProtection="1">
      <alignment horizontal="left" wrapText="1"/>
      <protection hidden="1"/>
    </xf>
    <xf numFmtId="0" fontId="27" fillId="0" borderId="0" xfId="0" applyFont="1" applyAlignment="1" applyProtection="1">
      <alignment horizontal="left" wrapText="1"/>
      <protection hidden="1"/>
    </xf>
    <xf numFmtId="0" fontId="27" fillId="0" borderId="7" xfId="0" applyFont="1" applyBorder="1" applyAlignment="1" applyProtection="1">
      <alignment horizontal="left" wrapText="1"/>
      <protection hidden="1"/>
    </xf>
    <xf numFmtId="0" fontId="27" fillId="0" borderId="8" xfId="0" applyFont="1" applyBorder="1" applyAlignment="1" applyProtection="1">
      <alignment horizontal="left" wrapText="1"/>
      <protection hidden="1"/>
    </xf>
    <xf numFmtId="0" fontId="27" fillId="0" borderId="1"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0" fillId="0" borderId="0" xfId="0" applyAlignment="1" applyProtection="1">
      <alignment horizontal="center"/>
      <protection locked="0"/>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6" fillId="6" borderId="13" xfId="1" applyNumberFormat="1" applyFont="1" applyFill="1" applyBorder="1" applyAlignment="1">
      <alignment horizontal="center"/>
    </xf>
    <xf numFmtId="164" fontId="6" fillId="6" borderId="14" xfId="1" applyNumberFormat="1" applyFont="1" applyFill="1" applyBorder="1" applyAlignment="1">
      <alignment horizontal="center"/>
    </xf>
    <xf numFmtId="164" fontId="6" fillId="6"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0" fontId="0" fillId="0" borderId="10" xfId="0" applyBorder="1" applyProtection="1">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0" fillId="0" borderId="5" xfId="10" applyFont="1" applyBorder="1" applyAlignment="1" applyProtection="1">
      <alignment horizontal="left" indent="2"/>
      <protection hidden="1"/>
    </xf>
    <xf numFmtId="0" fontId="6" fillId="0" borderId="0" xfId="0" applyFont="1" applyProtection="1">
      <protection hidden="1"/>
    </xf>
    <xf numFmtId="44" fontId="3" fillId="0" borderId="9" xfId="0" applyNumberFormat="1" applyFont="1" applyBorder="1" applyProtection="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3" fillId="0" borderId="0" xfId="0" applyFont="1" applyAlignment="1" applyProtection="1">
      <alignment horizontal="left"/>
      <protection hidden="1"/>
    </xf>
    <xf numFmtId="0" fontId="3" fillId="0" borderId="0" xfId="0" applyFont="1" applyAlignment="1" applyProtection="1">
      <alignment horizontal="left" wrapText="1"/>
      <protection hidden="1"/>
    </xf>
    <xf numFmtId="0" fontId="4" fillId="0" borderId="8" xfId="12" applyBorder="1" applyAlignment="1" applyProtection="1">
      <alignment horizontal="center"/>
      <protection hidden="1"/>
    </xf>
    <xf numFmtId="0" fontId="3" fillId="0" borderId="1" xfId="0" applyFont="1" applyBorder="1" applyAlignment="1" applyProtection="1">
      <alignment horizontal="left" vertical="center"/>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4" xfId="0" applyFont="1" applyBorder="1" applyAlignment="1" applyProtection="1">
      <alignment horizontal="left"/>
      <protection hidden="1"/>
    </xf>
    <xf numFmtId="0" fontId="22" fillId="0" borderId="0" xfId="0" applyFont="1" applyAlignment="1" applyProtection="1">
      <alignment horizontal="left" vertical="center" wrapText="1" indent="20"/>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1594104</xdr:colOff>
      <xdr:row>3</xdr:row>
      <xdr:rowOff>20386</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9419"/>
          <a:ext cx="7004304" cy="45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10</xdr:col>
      <xdr:colOff>0</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8" dataDxfId="47">
  <autoFilter ref="B2:B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4-06/Rider-25-OSS-8-44795-Effective-05-31-2024.pdf" TargetMode="External"/><Relationship Id="rId13" Type="http://schemas.openxmlformats.org/officeDocument/2006/relationships/comments" Target="../comments1.xml"/><Relationship Id="rId3" Type="http://schemas.openxmlformats.org/officeDocument/2006/relationships/hyperlink" Target="https://www.aesindiana.com/sites/aesvault.com/files/2024-03/Rider-6-FAC-142-38703-Effective-2-29-2024.pdf" TargetMode="External"/><Relationship Id="rId7" Type="http://schemas.openxmlformats.org/officeDocument/2006/relationships/hyperlink" Target="https://www.aesindiana.com/sites/aesvault.com/files/2024-06/Rider-24-CAP-8-44795-Effective-5-31-2024.pdf" TargetMode="External"/><Relationship Id="rId12" Type="http://schemas.openxmlformats.org/officeDocument/2006/relationships/vmlDrawing" Target="../drawings/vmlDrawing1.vml"/><Relationship Id="rId2" Type="http://schemas.openxmlformats.org/officeDocument/2006/relationships/hyperlink" Target="https://vault.aes.com/sites/aesvault.com/files/2024-04/Rider-21_GPR-16_44121_Effective_08-31-2023_2.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5/Rider-20-ECR-45911-Effective-05-09-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4-05/Rider-22-DSM-45911-Effective-05-09-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5/Rider-3-TDSIC-Effective-05-09-24.pdf" TargetMode="External"/><Relationship Id="rId9" Type="http://schemas.openxmlformats.org/officeDocument/2006/relationships/hyperlink" Target="https://www.aesindiana.com/sites/aesvault.com/files/2024-05/Rider-26-RTO-Effective-05-09-2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1"/>
  <sheetViews>
    <sheetView showGridLines="0" tabSelected="1" view="pageBreakPreview" zoomScale="110" zoomScaleNormal="100" zoomScaleSheetLayoutView="110" workbookViewId="0">
      <selection activeCell="D11" sqref="D11"/>
    </sheetView>
  </sheetViews>
  <sheetFormatPr defaultRowHeight="12.75" x14ac:dyDescent="0.2"/>
  <cols>
    <col min="1" max="1" width="11.85546875" customWidth="1"/>
    <col min="2" max="2" width="56.5703125" customWidth="1"/>
    <col min="3" max="3" width="12.7109375" customWidth="1"/>
    <col min="4" max="4" width="24.140625" customWidth="1"/>
    <col min="6" max="6" width="8.85546875" bestFit="1" customWidth="1"/>
  </cols>
  <sheetData>
    <row r="1" spans="1:4" ht="15.75" customHeight="1" x14ac:dyDescent="0.2">
      <c r="A1" s="227"/>
      <c r="B1" s="248" t="str">
        <f>'Calc. July - New Basic Rates'!B2</f>
        <v>July 2024 Monthly Bill Calculator</v>
      </c>
      <c r="C1" s="248"/>
      <c r="D1" s="248"/>
    </row>
    <row r="2" spans="1:4" ht="12.6" customHeight="1" x14ac:dyDescent="0.2">
      <c r="A2" s="227"/>
      <c r="B2" s="248"/>
      <c r="C2" s="248"/>
      <c r="D2" s="248"/>
    </row>
    <row r="3" spans="1:4" ht="12.6" customHeight="1" x14ac:dyDescent="0.2">
      <c r="A3" s="227"/>
      <c r="B3" s="248"/>
      <c r="C3" s="248"/>
      <c r="D3" s="248"/>
    </row>
    <row r="4" spans="1:4" x14ac:dyDescent="0.2">
      <c r="A4" s="227"/>
      <c r="B4" s="227"/>
      <c r="C4" s="227"/>
      <c r="D4" s="227"/>
    </row>
    <row r="5" spans="1:4" ht="12.75" customHeight="1" x14ac:dyDescent="0.2">
      <c r="A5" s="249" t="s">
        <v>0</v>
      </c>
      <c r="B5" s="250"/>
      <c r="C5" s="250"/>
      <c r="D5" s="251"/>
    </row>
    <row r="6" spans="1:4" ht="12.6" customHeight="1" x14ac:dyDescent="0.2">
      <c r="A6" s="252" t="s">
        <v>1</v>
      </c>
      <c r="B6" s="253"/>
      <c r="C6" s="253"/>
      <c r="D6" s="254"/>
    </row>
    <row r="7" spans="1:4" x14ac:dyDescent="0.2">
      <c r="A7" s="255"/>
      <c r="B7" s="256"/>
      <c r="C7" s="256"/>
      <c r="D7" s="257"/>
    </row>
    <row r="8" spans="1:4" x14ac:dyDescent="0.2">
      <c r="A8" s="258" t="s">
        <v>2</v>
      </c>
      <c r="B8" s="259"/>
      <c r="C8" s="259"/>
      <c r="D8" s="260"/>
    </row>
    <row r="9" spans="1:4" x14ac:dyDescent="0.2">
      <c r="A9" s="261"/>
      <c r="B9" s="262"/>
      <c r="C9" s="262"/>
      <c r="D9" s="262"/>
    </row>
    <row r="10" spans="1:4" ht="12.6" customHeight="1" x14ac:dyDescent="0.2">
      <c r="A10" s="245" t="s">
        <v>3</v>
      </c>
      <c r="B10" s="182" t="s">
        <v>4</v>
      </c>
      <c r="C10" s="182"/>
      <c r="D10" s="183"/>
    </row>
    <row r="11" spans="1:4" x14ac:dyDescent="0.2">
      <c r="A11" s="246" t="s">
        <v>5</v>
      </c>
      <c r="B11" s="247" t="s">
        <v>6</v>
      </c>
      <c r="C11" s="247"/>
      <c r="D11" s="137"/>
    </row>
    <row r="12" spans="1:4" x14ac:dyDescent="0.2">
      <c r="A12" s="246" t="s">
        <v>7</v>
      </c>
      <c r="B12" s="235" t="s">
        <v>8</v>
      </c>
      <c r="C12" s="235"/>
      <c r="D12" s="136"/>
    </row>
    <row r="13" spans="1:4" ht="12.6" customHeight="1" x14ac:dyDescent="0.2">
      <c r="A13" s="239">
        <f>VLOOKUP("X",Inputs!C32:L72,9,FALSE)</f>
        <v>0</v>
      </c>
      <c r="B13" s="240"/>
      <c r="C13" s="240"/>
      <c r="D13" s="241"/>
    </row>
    <row r="14" spans="1:4" x14ac:dyDescent="0.2">
      <c r="A14" s="242"/>
      <c r="B14" s="243"/>
      <c r="C14" s="243"/>
      <c r="D14" s="244"/>
    </row>
    <row r="15" spans="1:4" x14ac:dyDescent="0.2">
      <c r="A15" s="227"/>
      <c r="B15" s="227"/>
      <c r="C15" s="227"/>
      <c r="D15" s="227"/>
    </row>
    <row r="16" spans="1:4" ht="12.75" customHeight="1" x14ac:dyDescent="0.2">
      <c r="A16" s="245" t="s">
        <v>3</v>
      </c>
      <c r="B16" s="182" t="s">
        <v>9</v>
      </c>
      <c r="C16" s="182"/>
      <c r="D16" s="183"/>
    </row>
    <row r="17" spans="1:8" x14ac:dyDescent="0.2">
      <c r="A17" s="234" t="s">
        <v>10</v>
      </c>
      <c r="B17" s="235" t="s">
        <v>11</v>
      </c>
      <c r="C17" s="235"/>
      <c r="D17" s="135" t="s">
        <v>49</v>
      </c>
    </row>
    <row r="18" spans="1:8" ht="12.75" customHeight="1" x14ac:dyDescent="0.2">
      <c r="A18" s="234" t="s">
        <v>13</v>
      </c>
      <c r="B18" s="236" t="s">
        <v>14</v>
      </c>
      <c r="C18" s="236"/>
      <c r="D18" s="127" t="s">
        <v>316</v>
      </c>
    </row>
    <row r="19" spans="1:8" x14ac:dyDescent="0.2">
      <c r="A19" s="234" t="s">
        <v>15</v>
      </c>
      <c r="B19" s="236" t="s">
        <v>16</v>
      </c>
      <c r="C19" s="236"/>
      <c r="D19" s="128"/>
    </row>
    <row r="20" spans="1:8" x14ac:dyDescent="0.2">
      <c r="A20" s="234" t="s">
        <v>17</v>
      </c>
      <c r="B20" s="236" t="s">
        <v>18</v>
      </c>
      <c r="C20" s="236"/>
      <c r="D20" s="180" t="s">
        <v>316</v>
      </c>
    </row>
    <row r="21" spans="1:8" x14ac:dyDescent="0.2">
      <c r="A21" s="234" t="s">
        <v>19</v>
      </c>
      <c r="B21" s="235" t="s">
        <v>20</v>
      </c>
      <c r="C21" s="235"/>
      <c r="D21" s="128"/>
    </row>
    <row r="22" spans="1:8" ht="12.75" customHeight="1" x14ac:dyDescent="0.2">
      <c r="A22" s="234" t="s">
        <v>21</v>
      </c>
      <c r="B22" s="236" t="s">
        <v>22</v>
      </c>
      <c r="C22" s="236"/>
      <c r="D22" s="131"/>
    </row>
    <row r="23" spans="1:8" ht="13.5" customHeight="1" x14ac:dyDescent="0.2">
      <c r="A23" s="237" t="s">
        <v>23</v>
      </c>
      <c r="B23" s="238" t="s">
        <v>24</v>
      </c>
      <c r="C23" s="238"/>
      <c r="D23" s="129"/>
    </row>
    <row r="24" spans="1:8" x14ac:dyDescent="0.2">
      <c r="A24" s="211"/>
      <c r="B24" s="211"/>
      <c r="C24" s="211"/>
      <c r="D24" s="211"/>
    </row>
    <row r="25" spans="1:8" ht="15" x14ac:dyDescent="0.25">
      <c r="A25" s="212" t="s">
        <v>25</v>
      </c>
      <c r="B25" s="213"/>
      <c r="C25" s="214" t="s">
        <v>26</v>
      </c>
      <c r="D25" s="215" t="s">
        <v>317</v>
      </c>
      <c r="H25" s="144"/>
    </row>
    <row r="26" spans="1:8" x14ac:dyDescent="0.2">
      <c r="A26" s="216" t="s">
        <v>27</v>
      </c>
      <c r="B26" s="217"/>
      <c r="C26" s="217"/>
      <c r="D26" s="218"/>
    </row>
    <row r="27" spans="1:8" x14ac:dyDescent="0.2">
      <c r="A27" s="219" t="s">
        <v>28</v>
      </c>
      <c r="B27" s="220"/>
      <c r="C27" s="221" t="e" cm="1">
        <f t="array" aca="1" ref="C27" ca="1">_xlfn.IFS($D$17="RS",HYPERLINK(Inputs!$F$3,"RS"),'AES Indiana Bill Calc.'!$D$17="RC",HYPERLINK(Inputs!$F$3,"RC"),$D$17="RH",HYPERLINK(Inputs!$F$3,"RH"),$D$17="SS",HYPERLINK(Inputs!$F$8,"SS"),$D$17="SH",HYPERLINK(Inputs!$F$9,"SH"),$D$17="SE",H25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222" t="e">
        <f>VLOOKUP($D$19,'Calc. July - New Basic Rates'!$B$43:$AB$1181,13,FALSE)</f>
        <v>#N/A</v>
      </c>
      <c r="F27" s="123"/>
    </row>
    <row r="28" spans="1:8" x14ac:dyDescent="0.2">
      <c r="A28" s="219" t="s">
        <v>29</v>
      </c>
      <c r="B28" s="220"/>
      <c r="C28" s="221" t="e" cm="1">
        <f t="array" ref="C28">_xlfn.IFS($D$17="RS",HYPERLINK(Inputs!$F$3,"RS"),'AES Indiana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222" t="e">
        <f>VLOOKUP($D$19,'Calc. July - New Basic Rates'!$B$43:$AB$1181,9,FALSE)</f>
        <v>#N/A</v>
      </c>
      <c r="F28" s="123"/>
    </row>
    <row r="29" spans="1:8" x14ac:dyDescent="0.2">
      <c r="A29" s="219" t="s">
        <v>30</v>
      </c>
      <c r="B29" s="220"/>
      <c r="C29" s="221" t="e" cm="1">
        <f t="array" ref="C29">_xlfn.IFS($D$17="SL",HYPERLINK(Inputs!$F$14,"SL"),$D$17="PL",HYPERLINK(Inputs!$F$16,"PL"),$D$17="PH",HYPERLINK(Inputs!$F$18,"PH"),$D$17="HL1",HYPERLINK(Inputs!$F$20,"HL1"),$D$17="HL2",HYPERLINK(Inputs!$F$20,"HL2"),$D$17="HL3",HYPERLINK(Inputs!$F$20,"HL3"),$D$17="HL4",HYPERLINK(Inputs!$F$21,"HL4"))</f>
        <v>#N/A</v>
      </c>
      <c r="D29" s="222" t="e">
        <f>VLOOKUP($D$19,'Calc. July - New Basic Rates'!$B$42:$AB$1181,16,FALSE)</f>
        <v>#N/A</v>
      </c>
    </row>
    <row r="30" spans="1:8" x14ac:dyDescent="0.2">
      <c r="A30" s="219" t="s">
        <v>31</v>
      </c>
      <c r="B30" s="220"/>
      <c r="C30" s="221" t="e" cm="1">
        <f t="array" ref="C30">_xlfn.IFS($D$17="SL",HYPERLINK(Inputs!$F$15,"SL"),$D$17="PL",HYPERLINK(Inputs!$F$17,"PL"),$D$17="PH",HYPERLINK(Inputs!$F$19,"PH"),$D$17="HL1",HYPERLINK(Inputs!$F$21,"HL1"),$D$17="HL2",HYPERLINK(Inputs!$F$21,"HL2"),$D$17="HL3",HYPERLINK(Inputs!$F$21,"HL3"),$D$17="HL4",HYPERLINK(Inputs!$F$21,"HL4"))</f>
        <v>#N/A</v>
      </c>
      <c r="D30" s="222" t="e">
        <f>VLOOKUP($D$19,'Calc. July - New Basic Rates'!$B$42:$AB$1181,17,FALSE)</f>
        <v>#N/A</v>
      </c>
    </row>
    <row r="31" spans="1:8" x14ac:dyDescent="0.2">
      <c r="A31" s="216" t="s">
        <v>32</v>
      </c>
      <c r="B31" s="217"/>
      <c r="C31" s="217"/>
      <c r="D31" s="218"/>
    </row>
    <row r="32" spans="1:8" x14ac:dyDescent="0.2">
      <c r="A32" s="219" t="s">
        <v>33</v>
      </c>
      <c r="B32" s="220"/>
      <c r="C32" s="177" t="s">
        <v>34</v>
      </c>
      <c r="D32" s="222" t="e">
        <f>VLOOKUP($D$19,'Calc. July - New Basic Rates'!$B$43:$AB$1181,18,FALSE)</f>
        <v>#N/A</v>
      </c>
    </row>
    <row r="33" spans="1:4" x14ac:dyDescent="0.2">
      <c r="A33" s="219" t="s">
        <v>35</v>
      </c>
      <c r="B33" s="220"/>
      <c r="C33" s="177" t="s">
        <v>36</v>
      </c>
      <c r="D33" s="222" t="e">
        <f>VLOOKUP($D$19,'Calc. July - New Basic Rates'!$B$43:$AB$1181,19,FALSE)</f>
        <v>#N/A</v>
      </c>
    </row>
    <row r="34" spans="1:4" ht="26.25" customHeight="1" x14ac:dyDescent="0.2">
      <c r="A34" s="223" t="s">
        <v>37</v>
      </c>
      <c r="B34" s="224"/>
      <c r="C34" s="177" t="s">
        <v>38</v>
      </c>
      <c r="D34" s="225" t="e">
        <f>VLOOKUP($D$19,'Calc. July - New Basic Rates'!$B$43:$AB$1181,20,FALSE)</f>
        <v>#N/A</v>
      </c>
    </row>
    <row r="35" spans="1:4" x14ac:dyDescent="0.2">
      <c r="A35" s="219" t="s">
        <v>39</v>
      </c>
      <c r="B35" s="220"/>
      <c r="C35" s="177" t="s">
        <v>40</v>
      </c>
      <c r="D35" s="222" t="e">
        <f>VLOOKUP($D$19,'Calc. July - New Basic Rates'!$B$43:$AB$1181,21,FALSE)</f>
        <v>#N/A</v>
      </c>
    </row>
    <row r="36" spans="1:4" x14ac:dyDescent="0.2">
      <c r="A36" s="223" t="s">
        <v>41</v>
      </c>
      <c r="B36" s="224"/>
      <c r="C36" s="177" t="s">
        <v>42</v>
      </c>
      <c r="D36" s="222" t="e">
        <f>VLOOKUP($D$19,'Calc. July - New Basic Rates'!$B$43:$AB$1181,23,FALSE)</f>
        <v>#N/A</v>
      </c>
    </row>
    <row r="37" spans="1:4" x14ac:dyDescent="0.2">
      <c r="A37" s="219" t="s">
        <v>43</v>
      </c>
      <c r="B37" s="220"/>
      <c r="C37" s="177" t="s">
        <v>44</v>
      </c>
      <c r="D37" s="222" t="e">
        <f>VLOOKUP($D$19,'Calc. July - New Basic Rates'!$B$43:$AB$1181,24,FALSE)</f>
        <v>#N/A</v>
      </c>
    </row>
    <row r="38" spans="1:4" x14ac:dyDescent="0.2">
      <c r="A38" s="219" t="s">
        <v>45</v>
      </c>
      <c r="B38" s="220"/>
      <c r="C38" s="177" t="s">
        <v>46</v>
      </c>
      <c r="D38" s="222" t="e">
        <f>VLOOKUP($D$19,'Calc. July - New Basic Rates'!$B$43:$AB$1181,25,FALSE)</f>
        <v>#N/A</v>
      </c>
    </row>
    <row r="39" spans="1:4" x14ac:dyDescent="0.2">
      <c r="A39" s="219" t="s">
        <v>47</v>
      </c>
      <c r="B39" s="220"/>
      <c r="C39" s="177" t="s">
        <v>48</v>
      </c>
      <c r="D39" s="226" t="e">
        <f>VLOOKUP($D$19,'Calc. July - New Basic Rates'!$B$43:$AB$1181,26,FALSE)</f>
        <v>#N/A</v>
      </c>
    </row>
    <row r="40" spans="1:4" x14ac:dyDescent="0.2">
      <c r="A40" s="193" t="s">
        <v>311</v>
      </c>
      <c r="B40" s="194"/>
      <c r="C40" s="227"/>
      <c r="D40" s="228" t="e">
        <f>VLOOKUP($D$19,'Calc. July - New Basic Rates'!$B$43:$AB$1181,6,FALSE)</f>
        <v>#N/A</v>
      </c>
    </row>
    <row r="41" spans="1:4" x14ac:dyDescent="0.2">
      <c r="A41" s="195" t="s">
        <v>312</v>
      </c>
      <c r="B41" s="196"/>
      <c r="C41" s="229"/>
      <c r="D41" s="230" t="e">
        <f>D40*0.07</f>
        <v>#N/A</v>
      </c>
    </row>
    <row r="42" spans="1:4" x14ac:dyDescent="0.2">
      <c r="A42" s="197" t="s">
        <v>313</v>
      </c>
      <c r="B42" s="198"/>
      <c r="C42" s="231"/>
      <c r="D42" s="232" t="e">
        <f>SUM(D40:D41)</f>
        <v>#N/A</v>
      </c>
    </row>
    <row r="43" spans="1:4" x14ac:dyDescent="0.2">
      <c r="A43" s="178"/>
      <c r="B43" s="179"/>
      <c r="C43" s="229"/>
      <c r="D43" s="233"/>
    </row>
    <row r="44" spans="1:4" x14ac:dyDescent="0.2">
      <c r="A44" s="181" t="s">
        <v>314</v>
      </c>
      <c r="B44" s="182"/>
      <c r="C44" s="182"/>
      <c r="D44" s="183"/>
    </row>
    <row r="45" spans="1:4" x14ac:dyDescent="0.2">
      <c r="A45" s="184" t="s">
        <v>315</v>
      </c>
      <c r="B45" s="185"/>
      <c r="C45" s="185"/>
      <c r="D45" s="186"/>
    </row>
    <row r="46" spans="1:4" x14ac:dyDescent="0.2">
      <c r="A46" s="187"/>
      <c r="B46" s="188"/>
      <c r="C46" s="188"/>
      <c r="D46" s="189"/>
    </row>
    <row r="47" spans="1:4" x14ac:dyDescent="0.2">
      <c r="A47" s="187"/>
      <c r="B47" s="188"/>
      <c r="C47" s="188"/>
      <c r="D47" s="189"/>
    </row>
    <row r="48" spans="1:4" x14ac:dyDescent="0.2">
      <c r="A48" s="187"/>
      <c r="B48" s="188"/>
      <c r="C48" s="188"/>
      <c r="D48" s="189"/>
    </row>
    <row r="49" spans="1:4" x14ac:dyDescent="0.2">
      <c r="A49" s="187"/>
      <c r="B49" s="188"/>
      <c r="C49" s="188"/>
      <c r="D49" s="189"/>
    </row>
    <row r="50" spans="1:4" x14ac:dyDescent="0.2">
      <c r="A50" s="187"/>
      <c r="B50" s="188"/>
      <c r="C50" s="188"/>
      <c r="D50" s="189"/>
    </row>
    <row r="51" spans="1:4" ht="16.5" customHeight="1" x14ac:dyDescent="0.2">
      <c r="A51" s="190"/>
      <c r="B51" s="191"/>
      <c r="C51" s="191"/>
      <c r="D51" s="192"/>
    </row>
  </sheetData>
  <sheetProtection algorithmName="SHA-512" hashValue="8m+IJwXY7SauDEb/fEgex05C+k9klobMF1Nt3aBVnFu2gLQmpat2seRhtGVE/zjf1qH1ZcgaUQS7EiqmtbuQfA==" saltValue="+EcKA+1aEDBz6EOrVGbHMQ=="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$A$13=Inputs!$E$26</xm:f>
            <x14:dxf>
              <fill>
                <patternFill>
                  <bgColor rgb="FF16A837"/>
                </patternFill>
              </fill>
            </x14:dxf>
          </x14:cfRule>
          <x14:cfRule type="expression" priority="120" id="{BE6968EF-A7F3-448F-A0F7-DBCCADBB4F8E}">
            <xm:f>$A$13&lt;&gt;Inputs!$E$26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$A$13=Inputs!$E$26</xm:f>
            <x14:dxf>
              <font>
                <u/>
                <color theme="4"/>
              </font>
            </x14:dxf>
          </x14:cfRule>
          <xm:sqref>A17</xm:sqref>
        </x14:conditionalFormatting>
        <x14:conditionalFormatting xmlns:xm="http://schemas.microsoft.com/office/excel/2006/main">
          <x14:cfRule type="expression" priority="6" id="{35D30560-E9BF-4B95-BF94-B4C787565903}">
            <xm:f>$A$13&lt;&gt;Inputs!$E$26</xm:f>
            <x14:dxf>
              <font>
                <color theme="0"/>
              </font>
            </x14:dxf>
          </x14:cfRule>
          <xm:sqref>A17:C17</xm:sqref>
        </x14:conditionalFormatting>
        <x14:conditionalFormatting xmlns:xm="http://schemas.microsoft.com/office/excel/2006/main">
          <x14:cfRule type="expression" priority="121"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11" zoomScale="130" zoomScaleNormal="120" zoomScaleSheetLayoutView="130" workbookViewId="0">
      <selection activeCell="K20" sqref="K20"/>
    </sheetView>
  </sheetViews>
  <sheetFormatPr defaultRowHeight="12.75" x14ac:dyDescent="0.2"/>
  <sheetData/>
  <sheetProtection algorithmName="SHA-512" hashValue="grBnOdoBe+Iu5QT7Xf0YhS+YWix4vDUqd1CxEYjgunpRUQ7KwoppDKJP+ZlRLkAPLh0pSIvcuOHHUY+FSL0O+w==" saltValue="/wwDWwDG1VItsXsJxWVSlg=="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75" x14ac:dyDescent="0.2"/>
  <sheetData/>
  <sheetProtection algorithmName="SHA-512" hashValue="gEBDjtMjJ1r8aouwCgTKmW5NZzIa78j5wn6y27YvAiGKU3MLGJCTHVdRtN7XVYnnIPmtFsXR/7BkZgthwNCuGA==" saltValue="C/inx2fBxuKutP8ygWTNM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sheetProtection algorithmName="SHA-512" hashValue="a5KzV2VJnC+uCRa5wLHiWvVi9LOuCT/wcux1IC51955CnMrnFWt6wPVwPqEtCKgRDxXdraEeV+gZDJmQ06T57A==" saltValue="FEzp/aqF6/5BxDZwc3drQ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75"/>
  <sheetViews>
    <sheetView workbookViewId="0">
      <selection activeCell="F4" sqref="F4"/>
    </sheetView>
  </sheetViews>
  <sheetFormatPr defaultRowHeight="12.75" x14ac:dyDescent="0.2"/>
  <cols>
    <col min="2" max="2" width="10.42578125" customWidth="1"/>
    <col min="3" max="4" width="9.5703125" bestFit="1" customWidth="1"/>
    <col min="5" max="5" width="11" bestFit="1" customWidth="1"/>
    <col min="6" max="6" width="10.5703125" customWidth="1"/>
    <col min="8" max="8" width="12" bestFit="1" customWidth="1"/>
    <col min="9" max="9" width="11" customWidth="1"/>
    <col min="10" max="10" width="9.85546875" bestFit="1" customWidth="1"/>
  </cols>
  <sheetData>
    <row r="2" spans="2:6" ht="13.5" thickBot="1" x14ac:dyDescent="0.25">
      <c r="B2" s="122" t="s">
        <v>49</v>
      </c>
      <c r="E2" s="200" t="s">
        <v>50</v>
      </c>
      <c r="F2" s="200"/>
    </row>
    <row r="3" spans="2:6" x14ac:dyDescent="0.2">
      <c r="B3" s="130" t="s">
        <v>12</v>
      </c>
      <c r="E3" s="130" t="s">
        <v>51</v>
      </c>
      <c r="F3" s="124" t="s">
        <v>334</v>
      </c>
    </row>
    <row r="4" spans="2:6" x14ac:dyDescent="0.2">
      <c r="B4" s="130" t="s">
        <v>52</v>
      </c>
      <c r="E4" s="124"/>
    </row>
    <row r="5" spans="2:6" x14ac:dyDescent="0.2">
      <c r="B5" s="130" t="s">
        <v>53</v>
      </c>
    </row>
    <row r="6" spans="2:6" x14ac:dyDescent="0.2">
      <c r="B6" s="130" t="s">
        <v>54</v>
      </c>
    </row>
    <row r="7" spans="2:6" ht="13.5" thickBot="1" x14ac:dyDescent="0.25">
      <c r="B7" s="130" t="s">
        <v>55</v>
      </c>
      <c r="E7" s="200" t="s">
        <v>56</v>
      </c>
      <c r="F7" s="200"/>
    </row>
    <row r="8" spans="2:6" x14ac:dyDescent="0.2">
      <c r="B8" s="130" t="s">
        <v>57</v>
      </c>
      <c r="E8" s="130" t="s">
        <v>54</v>
      </c>
      <c r="F8" t="s">
        <v>321</v>
      </c>
    </row>
    <row r="9" spans="2:6" x14ac:dyDescent="0.2">
      <c r="B9" s="130" t="s">
        <v>58</v>
      </c>
      <c r="E9" s="130" t="s">
        <v>55</v>
      </c>
      <c r="F9" t="s">
        <v>322</v>
      </c>
    </row>
    <row r="10" spans="2:6" x14ac:dyDescent="0.2">
      <c r="B10" s="130" t="s">
        <v>59</v>
      </c>
      <c r="E10" s="130" t="s">
        <v>57</v>
      </c>
      <c r="F10" s="124" t="s">
        <v>323</v>
      </c>
    </row>
    <row r="11" spans="2:6" x14ac:dyDescent="0.2">
      <c r="B11" s="130" t="s">
        <v>60</v>
      </c>
      <c r="E11" s="130" t="s">
        <v>58</v>
      </c>
      <c r="F11" s="124" t="s">
        <v>324</v>
      </c>
    </row>
    <row r="12" spans="2:6" x14ac:dyDescent="0.2">
      <c r="B12" s="130" t="s">
        <v>61</v>
      </c>
      <c r="E12" s="130" t="s">
        <v>59</v>
      </c>
      <c r="F12" s="124" t="s">
        <v>324</v>
      </c>
    </row>
    <row r="13" spans="2:6" x14ac:dyDescent="0.2">
      <c r="B13" s="130" t="s">
        <v>62</v>
      </c>
      <c r="E13" s="130" t="s">
        <v>60</v>
      </c>
      <c r="F13" t="s">
        <v>325</v>
      </c>
    </row>
    <row r="14" spans="2:6" x14ac:dyDescent="0.2">
      <c r="B14" s="130" t="s">
        <v>63</v>
      </c>
      <c r="E14" s="130" t="s">
        <v>64</v>
      </c>
      <c r="F14" t="s">
        <v>326</v>
      </c>
    </row>
    <row r="15" spans="2:6" x14ac:dyDescent="0.2">
      <c r="B15" s="130" t="s">
        <v>65</v>
      </c>
      <c r="E15" s="130" t="s">
        <v>66</v>
      </c>
      <c r="F15" s="124" t="s">
        <v>327</v>
      </c>
    </row>
    <row r="16" spans="2:6" x14ac:dyDescent="0.2">
      <c r="B16" s="130" t="s">
        <v>67</v>
      </c>
      <c r="E16" s="130" t="s">
        <v>68</v>
      </c>
      <c r="F16" t="s">
        <v>328</v>
      </c>
    </row>
    <row r="17" spans="2:11" x14ac:dyDescent="0.2">
      <c r="B17" s="130" t="s">
        <v>69</v>
      </c>
      <c r="E17" s="130" t="s">
        <v>70</v>
      </c>
      <c r="F17" s="124" t="s">
        <v>329</v>
      </c>
    </row>
    <row r="18" spans="2:11" x14ac:dyDescent="0.2">
      <c r="B18" s="130" t="s">
        <v>71</v>
      </c>
      <c r="E18" s="130" t="s">
        <v>72</v>
      </c>
      <c r="F18" s="124" t="s">
        <v>330</v>
      </c>
    </row>
    <row r="19" spans="2:11" x14ac:dyDescent="0.2">
      <c r="E19" s="130" t="s">
        <v>73</v>
      </c>
      <c r="F19" s="124" t="s">
        <v>331</v>
      </c>
    </row>
    <row r="20" spans="2:11" x14ac:dyDescent="0.2">
      <c r="E20" s="130" t="s">
        <v>74</v>
      </c>
      <c r="F20" s="124" t="s">
        <v>332</v>
      </c>
    </row>
    <row r="21" spans="2:11" x14ac:dyDescent="0.2">
      <c r="E21" s="130" t="s">
        <v>75</v>
      </c>
      <c r="F21" s="124" t="s">
        <v>333</v>
      </c>
    </row>
    <row r="25" spans="2:11" x14ac:dyDescent="0.2">
      <c r="E25" s="130" t="s">
        <v>76</v>
      </c>
    </row>
    <row r="26" spans="2:11" x14ac:dyDescent="0.2">
      <c r="E26" s="130" t="s">
        <v>77</v>
      </c>
    </row>
    <row r="29" spans="2:11" ht="13.5" thickBot="1" x14ac:dyDescent="0.25">
      <c r="C29" s="200" t="s">
        <v>78</v>
      </c>
      <c r="D29" s="200"/>
      <c r="E29" s="200"/>
      <c r="F29" s="200"/>
      <c r="G29" s="200"/>
      <c r="H29" s="200"/>
      <c r="I29" s="200"/>
      <c r="J29" s="200"/>
      <c r="K29" s="200"/>
    </row>
    <row r="30" spans="2:11" ht="13.5" thickBot="1" x14ac:dyDescent="0.25">
      <c r="E30" s="201" t="s">
        <v>79</v>
      </c>
      <c r="F30" s="202"/>
      <c r="G30" s="203"/>
      <c r="H30" s="201" t="s">
        <v>80</v>
      </c>
      <c r="I30" s="202"/>
      <c r="J30" s="203"/>
    </row>
    <row r="31" spans="2:11" x14ac:dyDescent="0.2">
      <c r="C31" s="140" t="s">
        <v>81</v>
      </c>
      <c r="D31" s="140" t="s">
        <v>82</v>
      </c>
      <c r="E31" s="141" t="s">
        <v>83</v>
      </c>
      <c r="F31" s="140" t="s">
        <v>84</v>
      </c>
      <c r="G31" s="142" t="s">
        <v>85</v>
      </c>
      <c r="H31" s="140" t="s">
        <v>83</v>
      </c>
      <c r="I31" s="140" t="s">
        <v>84</v>
      </c>
      <c r="J31" s="142" t="s">
        <v>85</v>
      </c>
      <c r="K31" s="140" t="s">
        <v>86</v>
      </c>
    </row>
    <row r="32" spans="2:11" x14ac:dyDescent="0.2">
      <c r="C32">
        <f>IF(AND('AES Indiana Bill Calc.'!$D$11&gt;=Inputs!E32,'AES Indiana Bill Calc.'!$D$12&gt;=Inputs!F32,'AES Indiana Bill Calc.'!$D$11&lt;=Inputs!H32,'AES Indiana Bill Calc.'!$D$12&lt;=Inputs!I32,'AES Indiana Bill Calc.'!$D$12-'AES Indiana Bill Calc.'!$D$11&gt;=27,'AES Indiana Bill Calc.'!$D$12-'AES Indiana Bill Calc.'!$D$11&lt;=34),"X",)</f>
        <v>0</v>
      </c>
      <c r="D32" s="133">
        <v>44562</v>
      </c>
      <c r="E32" s="134">
        <v>44529</v>
      </c>
      <c r="F32" s="123">
        <v>44559</v>
      </c>
      <c r="G32" s="59">
        <f t="shared" ref="G32:G39" si="0">F32-E32</f>
        <v>30</v>
      </c>
      <c r="H32" s="123">
        <v>44559</v>
      </c>
      <c r="I32" s="123">
        <v>44589</v>
      </c>
      <c r="J32" s="59">
        <f t="shared" ref="J32:J50" si="1">I32-H32</f>
        <v>30</v>
      </c>
      <c r="K32" s="130" t="s">
        <v>87</v>
      </c>
    </row>
    <row r="33" spans="3:11" x14ac:dyDescent="0.2">
      <c r="C33">
        <f>IF(AND('AES Indiana Bill Calc.'!$D$11&gt;=Inputs!E33,'AES Indiana Bill Calc.'!$D$12&gt;=Inputs!F33,'AES Indiana Bill Calc.'!$D$11&lt;=Inputs!H33,'AES Indiana Bill Calc.'!$D$12&lt;=Inputs!I33,'AES Indiana Bill Calc.'!$D$12-'AES Indiana Bill Calc.'!$D$11&gt;=27,'AES Indiana Bill Calc.'!$D$12-'AES Indiana Bill Calc.'!$D$11&lt;=34),"X",)</f>
        <v>0</v>
      </c>
      <c r="D33" s="133">
        <v>44593</v>
      </c>
      <c r="E33" s="134">
        <v>44559</v>
      </c>
      <c r="F33" s="132">
        <v>44591</v>
      </c>
      <c r="G33" s="59">
        <f t="shared" si="0"/>
        <v>32</v>
      </c>
      <c r="H33" s="123">
        <v>44589</v>
      </c>
      <c r="I33" s="123">
        <v>44617</v>
      </c>
      <c r="J33" s="59">
        <f t="shared" si="1"/>
        <v>28</v>
      </c>
      <c r="K33" s="130" t="s">
        <v>87</v>
      </c>
    </row>
    <row r="34" spans="3:11" x14ac:dyDescent="0.2">
      <c r="C34">
        <f>IF(AND('AES Indiana Bill Calc.'!$D$11&gt;=Inputs!E34,'AES Indiana Bill Calc.'!$D$12&gt;=Inputs!F34,'AES Indiana Bill Calc.'!$D$11&lt;=Inputs!H34,'AES Indiana Bill Calc.'!$D$12&lt;=Inputs!I34,'AES Indiana Bill Calc.'!$D$12-'AES Indiana Bill Calc.'!$D$11&gt;=27,'AES Indiana Bill Calc.'!$D$12-'AES Indiana Bill Calc.'!$D$11&lt;=34),"X",)</f>
        <v>0</v>
      </c>
      <c r="D34" s="133">
        <v>44621</v>
      </c>
      <c r="E34" s="134">
        <v>44591</v>
      </c>
      <c r="F34" s="123">
        <v>44619</v>
      </c>
      <c r="G34" s="59">
        <f t="shared" si="0"/>
        <v>28</v>
      </c>
      <c r="H34" s="123">
        <v>44617</v>
      </c>
      <c r="I34" s="123">
        <v>44649</v>
      </c>
      <c r="J34" s="59">
        <f t="shared" si="1"/>
        <v>32</v>
      </c>
      <c r="K34" s="130" t="s">
        <v>87</v>
      </c>
    </row>
    <row r="35" spans="3:11" x14ac:dyDescent="0.2">
      <c r="C35">
        <f>IF(AND('AES Indiana Bill Calc.'!$D$11&gt;=Inputs!E35,'AES Indiana Bill Calc.'!$D$12&gt;=Inputs!F35,'AES Indiana Bill Calc.'!$D$11&lt;=Inputs!H35,'AES Indiana Bill Calc.'!$D$12&lt;=Inputs!I35,'AES Indiana Bill Calc.'!$D$12-'AES Indiana Bill Calc.'!$D$11&gt;=27,'AES Indiana Bill Calc.'!$D$12-'AES Indiana Bill Calc.'!$D$11&lt;=34),"X",)</f>
        <v>0</v>
      </c>
      <c r="D35" s="133">
        <v>44652</v>
      </c>
      <c r="E35" s="134">
        <v>44619</v>
      </c>
      <c r="F35" s="123">
        <v>44650</v>
      </c>
      <c r="G35" s="59">
        <f t="shared" si="0"/>
        <v>31</v>
      </c>
      <c r="H35" s="123">
        <v>44649</v>
      </c>
      <c r="I35" s="123">
        <v>44678</v>
      </c>
      <c r="J35" s="59">
        <f t="shared" si="1"/>
        <v>29</v>
      </c>
      <c r="K35" s="130" t="s">
        <v>87</v>
      </c>
    </row>
    <row r="36" spans="3:11" x14ac:dyDescent="0.2">
      <c r="C36">
        <f>IF(AND('AES Indiana Bill Calc.'!$D$11&gt;=Inputs!E36,'AES Indiana Bill Calc.'!$D$12&gt;=Inputs!F36,'AES Indiana Bill Calc.'!$D$11&lt;=Inputs!H36,'AES Indiana Bill Calc.'!$D$12&lt;=Inputs!I36,'AES Indiana Bill Calc.'!$D$12-'AES Indiana Bill Calc.'!$D$11&gt;=27,'AES Indiana Bill Calc.'!$D$12-'AES Indiana Bill Calc.'!$D$11&lt;=34),"X",)</f>
        <v>0</v>
      </c>
      <c r="D36" s="133">
        <v>44682</v>
      </c>
      <c r="E36" s="134">
        <v>44650</v>
      </c>
      <c r="F36" s="123">
        <v>44679</v>
      </c>
      <c r="G36" s="59">
        <f t="shared" si="0"/>
        <v>29</v>
      </c>
      <c r="H36" s="123">
        <v>44678</v>
      </c>
      <c r="I36" s="123">
        <v>44708</v>
      </c>
      <c r="J36" s="59">
        <f t="shared" si="1"/>
        <v>30</v>
      </c>
      <c r="K36" s="130" t="s">
        <v>87</v>
      </c>
    </row>
    <row r="37" spans="3:11" x14ac:dyDescent="0.2">
      <c r="C37">
        <f>IF(AND('AES Indiana Bill Calc.'!$D$11&gt;=Inputs!E37,'AES Indiana Bill Calc.'!$D$12&gt;=Inputs!F37,'AES Indiana Bill Calc.'!$D$11&lt;=Inputs!H37,'AES Indiana Bill Calc.'!$D$12&lt;=Inputs!I37,'AES Indiana Bill Calc.'!$D$12-'AES Indiana Bill Calc.'!$D$11&gt;=27,'AES Indiana Bill Calc.'!$D$12-'AES Indiana Bill Calc.'!$D$11&lt;=34),"X",)</f>
        <v>0</v>
      </c>
      <c r="D37" s="133">
        <v>44713</v>
      </c>
      <c r="E37" s="134">
        <v>44679</v>
      </c>
      <c r="F37" s="123">
        <v>44712</v>
      </c>
      <c r="G37" s="59">
        <f t="shared" si="0"/>
        <v>33</v>
      </c>
      <c r="H37" s="123">
        <v>44708</v>
      </c>
      <c r="I37" s="123">
        <v>44741</v>
      </c>
      <c r="J37" s="59">
        <f t="shared" si="1"/>
        <v>33</v>
      </c>
      <c r="K37" s="130" t="s">
        <v>87</v>
      </c>
    </row>
    <row r="38" spans="3:11" x14ac:dyDescent="0.2">
      <c r="C38">
        <f>IF(AND('AES Indiana Bill Calc.'!$D$11&gt;=Inputs!E38,'AES Indiana Bill Calc.'!$D$12&gt;=Inputs!F38,'AES Indiana Bill Calc.'!$D$11&lt;=Inputs!H38,'AES Indiana Bill Calc.'!$D$12&lt;=Inputs!I38,'AES Indiana Bill Calc.'!$D$12-'AES Indiana Bill Calc.'!$D$11&gt;=27,'AES Indiana Bill Calc.'!$D$12-'AES Indiana Bill Calc.'!$D$11&lt;=34),"X",)</f>
        <v>0</v>
      </c>
      <c r="D38" s="133">
        <v>44743</v>
      </c>
      <c r="E38" s="134">
        <v>44712</v>
      </c>
      <c r="F38" s="123">
        <v>44742</v>
      </c>
      <c r="G38" s="59">
        <f t="shared" si="0"/>
        <v>30</v>
      </c>
      <c r="H38" s="123">
        <v>44741</v>
      </c>
      <c r="I38" s="123">
        <v>44770</v>
      </c>
      <c r="J38" s="59">
        <f t="shared" si="1"/>
        <v>29</v>
      </c>
      <c r="K38" s="130" t="s">
        <v>87</v>
      </c>
    </row>
    <row r="39" spans="3:11" x14ac:dyDescent="0.2">
      <c r="C39">
        <f>IF(AND('AES Indiana Bill Calc.'!$D$11&gt;=Inputs!E39,'AES Indiana Bill Calc.'!$D$12&gt;=Inputs!F39,'AES Indiana Bill Calc.'!$D$11&lt;=Inputs!H39,'AES Indiana Bill Calc.'!$D$12&lt;=Inputs!I39,'AES Indiana Bill Calc.'!$D$12-'AES Indiana Bill Calc.'!$D$11&gt;=27,'AES Indiana Bill Calc.'!$D$12-'AES Indiana Bill Calc.'!$D$11&lt;=34),"X",)</f>
        <v>0</v>
      </c>
      <c r="D39" s="133">
        <v>44774</v>
      </c>
      <c r="E39" s="134">
        <v>44742</v>
      </c>
      <c r="F39" s="123">
        <v>44771</v>
      </c>
      <c r="G39" s="59">
        <f t="shared" si="0"/>
        <v>29</v>
      </c>
      <c r="H39" s="123">
        <v>44770</v>
      </c>
      <c r="I39" s="123">
        <v>44802</v>
      </c>
      <c r="J39" s="59">
        <f>I39-H39</f>
        <v>32</v>
      </c>
      <c r="K39" s="130" t="s">
        <v>87</v>
      </c>
    </row>
    <row r="40" spans="3:11" x14ac:dyDescent="0.2">
      <c r="C40">
        <f>IF(AND('AES Indiana Bill Calc.'!$D$11&gt;=Inputs!E40,'AES Indiana Bill Calc.'!$D$12&gt;=Inputs!F40,'AES Indiana Bill Calc.'!$D$11&lt;=Inputs!H40,'AES Indiana Bill Calc.'!$D$12&lt;=Inputs!I40,'AES Indiana Bill Calc.'!$D$12-'AES Indiana Bill Calc.'!$D$11&gt;=27,'AES Indiana Bill Calc.'!$D$12-'AES Indiana Bill Calc.'!$D$11&lt;=34),"X",)</f>
        <v>0</v>
      </c>
      <c r="D40" s="133">
        <v>44805</v>
      </c>
      <c r="E40" s="134">
        <v>44771</v>
      </c>
      <c r="F40" s="123">
        <v>44802</v>
      </c>
      <c r="G40" s="59">
        <f>F40-E40</f>
        <v>31</v>
      </c>
      <c r="H40" s="123">
        <v>44803</v>
      </c>
      <c r="I40" s="123">
        <v>44833</v>
      </c>
      <c r="J40" s="59">
        <f t="shared" si="1"/>
        <v>30</v>
      </c>
      <c r="K40" s="130" t="s">
        <v>87</v>
      </c>
    </row>
    <row r="41" spans="3:11" x14ac:dyDescent="0.2">
      <c r="C41">
        <f>IF(AND('AES Indiana Bill Calc.'!$D$11&gt;=Inputs!E41,'AES Indiana Bill Calc.'!$D$12&gt;=Inputs!F41,'AES Indiana Bill Calc.'!$D$11&lt;=Inputs!H41,'AES Indiana Bill Calc.'!$D$12&lt;=Inputs!I41,'AES Indiana Bill Calc.'!$D$12-'AES Indiana Bill Calc.'!$D$11&gt;=27,'AES Indiana Bill Calc.'!$D$12-'AES Indiana Bill Calc.'!$D$11&lt;=34),"X",)</f>
        <v>0</v>
      </c>
      <c r="D41" s="133">
        <v>44835</v>
      </c>
      <c r="E41" s="134">
        <v>44802</v>
      </c>
      <c r="F41" s="123">
        <v>44834</v>
      </c>
      <c r="G41" s="59">
        <f>F41-E41</f>
        <v>32</v>
      </c>
      <c r="H41" s="123">
        <v>44833</v>
      </c>
      <c r="I41" s="123">
        <v>44862</v>
      </c>
      <c r="J41" s="59">
        <f t="shared" si="1"/>
        <v>29</v>
      </c>
      <c r="K41" s="130" t="s">
        <v>87</v>
      </c>
    </row>
    <row r="42" spans="3:11" x14ac:dyDescent="0.2">
      <c r="C42">
        <f>IF(AND('AES Indiana Bill Calc.'!$D$11&gt;=Inputs!E42,'AES Indiana Bill Calc.'!$D$12&gt;=Inputs!F42,'AES Indiana Bill Calc.'!$D$11&lt;=Inputs!H42,'AES Indiana Bill Calc.'!$D$12&lt;=Inputs!I42,'AES Indiana Bill Calc.'!$D$12-'AES Indiana Bill Calc.'!$D$11&gt;=27,'AES Indiana Bill Calc.'!$D$12-'AES Indiana Bill Calc.'!$D$11&lt;=34),"X",)</f>
        <v>0</v>
      </c>
      <c r="D42" s="133">
        <v>44866</v>
      </c>
      <c r="E42" s="134">
        <v>44834</v>
      </c>
      <c r="F42" s="123">
        <v>44863</v>
      </c>
      <c r="G42" s="59">
        <f t="shared" ref="G42:G51" si="2">F42-E42</f>
        <v>29</v>
      </c>
      <c r="H42" s="123">
        <v>44862</v>
      </c>
      <c r="I42" s="123">
        <v>44894</v>
      </c>
      <c r="J42" s="59">
        <f t="shared" si="1"/>
        <v>32</v>
      </c>
      <c r="K42" s="130" t="s">
        <v>87</v>
      </c>
    </row>
    <row r="43" spans="3:11" x14ac:dyDescent="0.2">
      <c r="C43">
        <f>IF(AND('AES Indiana Bill Calc.'!$D$11&gt;=Inputs!E43,'AES Indiana Bill Calc.'!$D$12&gt;=Inputs!F43,'AES Indiana Bill Calc.'!$D$11&lt;=Inputs!H43,'AES Indiana Bill Calc.'!$D$12&lt;=Inputs!I43,'AES Indiana Bill Calc.'!$D$12-'AES Indiana Bill Calc.'!$D$11&gt;=27,'AES Indiana Bill Calc.'!$D$12-'AES Indiana Bill Calc.'!$D$11&lt;=34),"X",)</f>
        <v>0</v>
      </c>
      <c r="D43" s="133">
        <v>44896</v>
      </c>
      <c r="E43" s="134">
        <v>44863</v>
      </c>
      <c r="F43" s="123">
        <v>44895</v>
      </c>
      <c r="G43" s="59">
        <f t="shared" si="2"/>
        <v>32</v>
      </c>
      <c r="H43" s="123">
        <v>44894</v>
      </c>
      <c r="I43" s="123">
        <v>44924</v>
      </c>
      <c r="J43" s="59">
        <f t="shared" si="1"/>
        <v>30</v>
      </c>
      <c r="K43" s="130" t="s">
        <v>87</v>
      </c>
    </row>
    <row r="44" spans="3:11" x14ac:dyDescent="0.2">
      <c r="C44">
        <f>IF(AND('AES Indiana Bill Calc.'!$D$11&gt;=Inputs!E44,'AES Indiana Bill Calc.'!$D$12&gt;=Inputs!F44,'AES Indiana Bill Calc.'!$D$11&lt;=Inputs!H44,'AES Indiana Bill Calc.'!$D$12&lt;=Inputs!I44,'AES Indiana Bill Calc.'!$D$12-'AES Indiana Bill Calc.'!$D$11&gt;=27,'AES Indiana Bill Calc.'!$D$12-'AES Indiana Bill Calc.'!$D$11&lt;=34),"X",)</f>
        <v>0</v>
      </c>
      <c r="D44" s="133">
        <v>44927</v>
      </c>
      <c r="E44" s="134">
        <v>44895</v>
      </c>
      <c r="F44" s="123">
        <v>44925</v>
      </c>
      <c r="G44" s="59">
        <f t="shared" si="2"/>
        <v>30</v>
      </c>
      <c r="H44" s="123">
        <f>F44</f>
        <v>44925</v>
      </c>
      <c r="I44" s="123">
        <v>44956</v>
      </c>
      <c r="J44" s="59">
        <f t="shared" si="1"/>
        <v>31</v>
      </c>
      <c r="K44" s="130" t="s">
        <v>87</v>
      </c>
    </row>
    <row r="45" spans="3:11" x14ac:dyDescent="0.2">
      <c r="C45">
        <f>IF(AND('AES Indiana Bill Calc.'!$D$11&gt;=Inputs!E45,'AES Indiana Bill Calc.'!$D$12&gt;=Inputs!F45,'AES Indiana Bill Calc.'!$D$11&lt;=Inputs!H45,'AES Indiana Bill Calc.'!$D$12&lt;=Inputs!I45,'AES Indiana Bill Calc.'!$D$12-'AES Indiana Bill Calc.'!$D$11&gt;=27,'AES Indiana Bill Calc.'!$D$12-'AES Indiana Bill Calc.'!$D$11&lt;=34),"X",)</f>
        <v>0</v>
      </c>
      <c r="D45" s="133">
        <v>44958</v>
      </c>
      <c r="E45" s="134">
        <f>F44</f>
        <v>44925</v>
      </c>
      <c r="F45" s="132">
        <v>44957</v>
      </c>
      <c r="G45" s="59">
        <f t="shared" si="2"/>
        <v>32</v>
      </c>
      <c r="H45" s="123">
        <f>I44</f>
        <v>44956</v>
      </c>
      <c r="I45" s="123">
        <v>44984</v>
      </c>
      <c r="J45" s="59">
        <f t="shared" si="1"/>
        <v>28</v>
      </c>
      <c r="K45" s="130" t="s">
        <v>87</v>
      </c>
    </row>
    <row r="46" spans="3:11" x14ac:dyDescent="0.2">
      <c r="C46">
        <f>IF(AND('AES Indiana Bill Calc.'!$D$11&gt;=Inputs!E46,'AES Indiana Bill Calc.'!$D$12&gt;=Inputs!F46,'AES Indiana Bill Calc.'!$D$11&lt;=Inputs!H46,'AES Indiana Bill Calc.'!$D$12&lt;=Inputs!I46,'AES Indiana Bill Calc.'!$D$12-'AES Indiana Bill Calc.'!$D$11&gt;=27,'AES Indiana Bill Calc.'!$D$12-'AES Indiana Bill Calc.'!$D$11&lt;=34),"X",)</f>
        <v>0</v>
      </c>
      <c r="D46" s="133">
        <v>44986</v>
      </c>
      <c r="E46" s="134">
        <f>F45</f>
        <v>44957</v>
      </c>
      <c r="F46" s="123">
        <v>44985</v>
      </c>
      <c r="G46" s="59">
        <f t="shared" si="2"/>
        <v>28</v>
      </c>
      <c r="H46" s="123">
        <f>I45</f>
        <v>44984</v>
      </c>
      <c r="I46" s="123">
        <v>45014</v>
      </c>
      <c r="J46" s="59">
        <f t="shared" si="1"/>
        <v>30</v>
      </c>
      <c r="K46" s="130" t="s">
        <v>88</v>
      </c>
    </row>
    <row r="47" spans="3:11" x14ac:dyDescent="0.2">
      <c r="C47">
        <f>IF(AND('AES Indiana Bill Calc.'!$D$11&gt;=Inputs!E47,'AES Indiana Bill Calc.'!$D$12&gt;=Inputs!F47,'AES Indiana Bill Calc.'!$D$11&lt;=Inputs!H47,'AES Indiana Bill Calc.'!$D$12&lt;=Inputs!I47,'AES Indiana Bill Calc.'!$D$12-'AES Indiana Bill Calc.'!$D$11&gt;=27,'AES Indiana Bill Calc.'!$D$12-'AES Indiana Bill Calc.'!$D$11&lt;=34),"X",)</f>
        <v>0</v>
      </c>
      <c r="D47" s="133">
        <v>45017</v>
      </c>
      <c r="E47" s="134">
        <v>44985</v>
      </c>
      <c r="F47" s="123">
        <v>45015</v>
      </c>
      <c r="G47" s="59">
        <f t="shared" si="2"/>
        <v>30</v>
      </c>
      <c r="H47" s="123">
        <v>45014</v>
      </c>
      <c r="I47" s="123">
        <v>45043</v>
      </c>
      <c r="J47" s="59">
        <f t="shared" si="1"/>
        <v>29</v>
      </c>
      <c r="K47" s="130" t="s">
        <v>89</v>
      </c>
    </row>
    <row r="48" spans="3:11" x14ac:dyDescent="0.2">
      <c r="C48">
        <f>IF(AND('AES Indiana Bill Calc.'!$D$11&gt;=Inputs!E48,'AES Indiana Bill Calc.'!$D$12&gt;=Inputs!F48,'AES Indiana Bill Calc.'!$D$11&lt;=Inputs!H48,'AES Indiana Bill Calc.'!$D$12&lt;=Inputs!I48,'AES Indiana Bill Calc.'!$D$12-'AES Indiana Bill Calc.'!$D$11&gt;=27,'AES Indiana Bill Calc.'!$D$12-'AES Indiana Bill Calc.'!$D$11&lt;=34),"X",)</f>
        <v>0</v>
      </c>
      <c r="D48" s="133">
        <v>45047</v>
      </c>
      <c r="E48" s="134">
        <v>45015</v>
      </c>
      <c r="F48" s="123">
        <v>45044</v>
      </c>
      <c r="G48" s="59">
        <f t="shared" si="2"/>
        <v>29</v>
      </c>
      <c r="H48" s="123">
        <v>45043</v>
      </c>
      <c r="I48" s="123">
        <v>45076</v>
      </c>
      <c r="J48" s="59">
        <f t="shared" si="1"/>
        <v>33</v>
      </c>
      <c r="K48" s="130" t="s">
        <v>90</v>
      </c>
    </row>
    <row r="49" spans="3:11" x14ac:dyDescent="0.2">
      <c r="C49">
        <f>IF(AND('AES Indiana Bill Calc.'!$D$11&gt;=Inputs!E49,'AES Indiana Bill Calc.'!$D$12&gt;=Inputs!F49,'AES Indiana Bill Calc.'!$D$11&lt;=Inputs!H49,'AES Indiana Bill Calc.'!$D$12&lt;=Inputs!I49,'AES Indiana Bill Calc.'!$D$12-'AES Indiana Bill Calc.'!$D$11&gt;=27,'AES Indiana Bill Calc.'!$D$12-'AES Indiana Bill Calc.'!$D$11&lt;=34),"X",)</f>
        <v>0</v>
      </c>
      <c r="D49" s="133">
        <v>45078</v>
      </c>
      <c r="E49" s="134">
        <v>45044</v>
      </c>
      <c r="F49" s="123">
        <v>45077</v>
      </c>
      <c r="G49" s="59">
        <f t="shared" si="2"/>
        <v>33</v>
      </c>
      <c r="H49" s="123">
        <f>I48</f>
        <v>45076</v>
      </c>
      <c r="I49" s="123">
        <v>45106</v>
      </c>
      <c r="J49" s="59">
        <f t="shared" si="1"/>
        <v>30</v>
      </c>
      <c r="K49" s="130" t="s">
        <v>91</v>
      </c>
    </row>
    <row r="50" spans="3:11" x14ac:dyDescent="0.2">
      <c r="C50">
        <f>IF(AND('AES Indiana Bill Calc.'!$D$11&gt;=Inputs!E50,'AES Indiana Bill Calc.'!$D$12&gt;=Inputs!F50,'AES Indiana Bill Calc.'!$D$11&lt;=Inputs!H50,'AES Indiana Bill Calc.'!$D$12&lt;=Inputs!I50,'AES Indiana Bill Calc.'!$D$12-'AES Indiana Bill Calc.'!$D$11&gt;=27,'AES Indiana Bill Calc.'!$D$12-'AES Indiana Bill Calc.'!$D$11&lt;=34),"X",)</f>
        <v>0</v>
      </c>
      <c r="D50" s="133">
        <v>45108</v>
      </c>
      <c r="E50" s="134">
        <v>45077</v>
      </c>
      <c r="F50" s="123">
        <v>45107</v>
      </c>
      <c r="G50" s="59">
        <f t="shared" si="2"/>
        <v>30</v>
      </c>
      <c r="H50" s="123">
        <v>45106</v>
      </c>
      <c r="I50" s="123">
        <v>45135</v>
      </c>
      <c r="J50" s="59">
        <f t="shared" si="1"/>
        <v>29</v>
      </c>
      <c r="K50" s="130" t="s">
        <v>297</v>
      </c>
    </row>
    <row r="51" spans="3:11" x14ac:dyDescent="0.2">
      <c r="C51">
        <f>IF(AND('AES Indiana Bill Calc.'!$D$11&gt;=Inputs!E51,'AES Indiana Bill Calc.'!$D$12&gt;=Inputs!F51,'AES Indiana Bill Calc.'!$D$11&lt;=Inputs!H51,'AES Indiana Bill Calc.'!$D$12&lt;=Inputs!I51,'AES Indiana Bill Calc.'!$D$12-'AES Indiana Bill Calc.'!$D$11&gt;=27,'AES Indiana Bill Calc.'!$D$12-'AES Indiana Bill Calc.'!$D$11&lt;=34),"X",)</f>
        <v>0</v>
      </c>
      <c r="D51" s="133">
        <v>45139</v>
      </c>
      <c r="E51" s="134">
        <v>45107</v>
      </c>
      <c r="F51" s="123">
        <v>45138</v>
      </c>
      <c r="G51" s="59">
        <f t="shared" si="2"/>
        <v>31</v>
      </c>
      <c r="H51" s="123">
        <v>45135</v>
      </c>
      <c r="I51" s="123">
        <v>45168</v>
      </c>
      <c r="J51" s="59">
        <f>I51-H51</f>
        <v>33</v>
      </c>
      <c r="K51" s="130" t="s">
        <v>92</v>
      </c>
    </row>
    <row r="52" spans="3:11" x14ac:dyDescent="0.2">
      <c r="C52">
        <f>IF(AND('AES Indiana Bill Calc.'!$D$11&gt;=Inputs!E52,'AES Indiana Bill Calc.'!$D$12&gt;=Inputs!F52,'AES Indiana Bill Calc.'!$D$11&lt;=Inputs!H52,'AES Indiana Bill Calc.'!$D$12&lt;=Inputs!I52,'AES Indiana Bill Calc.'!$D$12-'AES Indiana Bill Calc.'!$D$11&gt;=27,'AES Indiana Bill Calc.'!$D$12-'AES Indiana Bill Calc.'!$D$11&lt;=34),"X",)</f>
        <v>0</v>
      </c>
      <c r="D52" s="133">
        <v>45170</v>
      </c>
      <c r="E52" s="134">
        <v>45138</v>
      </c>
      <c r="F52" s="123">
        <v>45169</v>
      </c>
      <c r="G52" s="59">
        <f>F52-E52</f>
        <v>31</v>
      </c>
      <c r="H52" s="123">
        <v>45168</v>
      </c>
      <c r="I52" s="123">
        <v>45197</v>
      </c>
      <c r="J52" s="59">
        <f t="shared" ref="J52:J67" si="3">I52-H52</f>
        <v>29</v>
      </c>
      <c r="K52" s="130" t="s">
        <v>93</v>
      </c>
    </row>
    <row r="53" spans="3:11" x14ac:dyDescent="0.2">
      <c r="C53">
        <f>IF(AND('AES Indiana Bill Calc.'!$D$11&gt;=Inputs!E53,'AES Indiana Bill Calc.'!$D$12&gt;=Inputs!F53,'AES Indiana Bill Calc.'!$D$11&lt;=Inputs!H53,'AES Indiana Bill Calc.'!$D$12&lt;=Inputs!I53,'AES Indiana Bill Calc.'!$D$12-'AES Indiana Bill Calc.'!$D$11&gt;=27,'AES Indiana Bill Calc.'!$D$12-'AES Indiana Bill Calc.'!$D$11&lt;=34),"X",)</f>
        <v>0</v>
      </c>
      <c r="D53" s="133">
        <v>45200</v>
      </c>
      <c r="E53" s="134">
        <f>F52</f>
        <v>45169</v>
      </c>
      <c r="F53" s="123">
        <v>45198</v>
      </c>
      <c r="G53" s="59">
        <f>F53-E53</f>
        <v>29</v>
      </c>
      <c r="H53" s="123">
        <v>45197</v>
      </c>
      <c r="I53" s="123">
        <v>45229</v>
      </c>
      <c r="J53" s="59">
        <f t="shared" si="3"/>
        <v>32</v>
      </c>
      <c r="K53" s="130" t="s">
        <v>94</v>
      </c>
    </row>
    <row r="54" spans="3:11" x14ac:dyDescent="0.2">
      <c r="C54">
        <f>IF(AND('AES Indiana Bill Calc.'!$D$11&gt;=Inputs!E54,'AES Indiana Bill Calc.'!$D$12&gt;=Inputs!F54,'AES Indiana Bill Calc.'!$D$11&lt;=Inputs!H54,'AES Indiana Bill Calc.'!$D$12&lt;=Inputs!I54,'AES Indiana Bill Calc.'!$D$12-'AES Indiana Bill Calc.'!$D$11&gt;=27,'AES Indiana Bill Calc.'!$D$12-'AES Indiana Bill Calc.'!$D$11&lt;=34),"X",)</f>
        <v>0</v>
      </c>
      <c r="D54" s="133">
        <v>45231</v>
      </c>
      <c r="E54" s="134">
        <v>45198</v>
      </c>
      <c r="F54" s="123">
        <v>45230</v>
      </c>
      <c r="G54" s="59">
        <f t="shared" ref="G54:G67" si="4">F54-E54</f>
        <v>32</v>
      </c>
      <c r="H54" s="123">
        <v>45229</v>
      </c>
      <c r="I54" s="123">
        <v>45259</v>
      </c>
      <c r="J54" s="59">
        <f t="shared" si="3"/>
        <v>30</v>
      </c>
      <c r="K54" s="130" t="s">
        <v>95</v>
      </c>
    </row>
    <row r="55" spans="3:11" x14ac:dyDescent="0.2">
      <c r="C55">
        <f>IF(AND('AES Indiana Bill Calc.'!$D$11&gt;=Inputs!E55,'AES Indiana Bill Calc.'!$D$12&gt;=Inputs!F55,'AES Indiana Bill Calc.'!$D$11&lt;=Inputs!H55,'AES Indiana Bill Calc.'!$D$12&lt;=Inputs!I55,'AES Indiana Bill Calc.'!$D$12-'AES Indiana Bill Calc.'!$D$11&gt;=27,'AES Indiana Bill Calc.'!$D$12-'AES Indiana Bill Calc.'!$D$11&lt;=34),"X",)</f>
        <v>0</v>
      </c>
      <c r="D55" s="133">
        <v>45261</v>
      </c>
      <c r="E55" s="134">
        <f>F54</f>
        <v>45230</v>
      </c>
      <c r="F55" s="123">
        <v>45260</v>
      </c>
      <c r="G55" s="59">
        <f t="shared" si="4"/>
        <v>30</v>
      </c>
      <c r="H55" s="123">
        <v>45259</v>
      </c>
      <c r="I55" s="123">
        <v>45288</v>
      </c>
      <c r="J55" s="59">
        <f t="shared" si="3"/>
        <v>29</v>
      </c>
      <c r="K55" s="130" t="s">
        <v>96</v>
      </c>
    </row>
    <row r="56" spans="3:11" x14ac:dyDescent="0.2">
      <c r="C56">
        <f>IF(AND('AES Indiana Bill Calc.'!$D$11&gt;=Inputs!E56,'AES Indiana Bill Calc.'!$D$12&gt;=Inputs!F56,'AES Indiana Bill Calc.'!$D$11&lt;=Inputs!H56,'AES Indiana Bill Calc.'!$D$12&lt;=Inputs!I56,'AES Indiana Bill Calc.'!$D$12-'AES Indiana Bill Calc.'!$D$11&gt;=27,'AES Indiana Bill Calc.'!$D$12-'AES Indiana Bill Calc.'!$D$11&lt;=34),"X",)</f>
        <v>0</v>
      </c>
      <c r="D56" s="166">
        <v>45292</v>
      </c>
      <c r="E56" s="123">
        <v>45260</v>
      </c>
      <c r="F56" s="123">
        <v>45289</v>
      </c>
      <c r="G56" s="59">
        <f t="shared" si="4"/>
        <v>29</v>
      </c>
      <c r="H56" s="123">
        <v>45288</v>
      </c>
      <c r="I56" s="123">
        <v>45321</v>
      </c>
      <c r="J56" s="59">
        <f t="shared" si="3"/>
        <v>33</v>
      </c>
      <c r="K56" s="130" t="s">
        <v>292</v>
      </c>
    </row>
    <row r="57" spans="3:11" x14ac:dyDescent="0.2">
      <c r="C57">
        <f>IF(AND('AES Indiana Bill Calc.'!$D$11&gt;=Inputs!E57,'AES Indiana Bill Calc.'!$D$12&gt;=Inputs!F57,'AES Indiana Bill Calc.'!$D$11&lt;=Inputs!H57,'AES Indiana Bill Calc.'!$D$12&lt;=Inputs!I57,'AES Indiana Bill Calc.'!$D$12-'AES Indiana Bill Calc.'!$D$11&gt;=27,'AES Indiana Bill Calc.'!$D$12-'AES Indiana Bill Calc.'!$D$11&lt;=34),"X",)</f>
        <v>0</v>
      </c>
      <c r="D57" s="166">
        <v>45323</v>
      </c>
      <c r="E57" s="123">
        <f t="shared" ref="E57:E67" si="5">F56</f>
        <v>45289</v>
      </c>
      <c r="F57" s="123">
        <v>45322</v>
      </c>
      <c r="G57" s="59">
        <f t="shared" si="4"/>
        <v>33</v>
      </c>
      <c r="H57" s="123">
        <v>45321</v>
      </c>
      <c r="I57" s="123">
        <v>45350</v>
      </c>
      <c r="J57" s="59">
        <f t="shared" si="3"/>
        <v>29</v>
      </c>
      <c r="K57" s="130" t="s">
        <v>293</v>
      </c>
    </row>
    <row r="58" spans="3:11" x14ac:dyDescent="0.2">
      <c r="C58">
        <f>IF(AND('AES Indiana Bill Calc.'!$D$11&gt;=Inputs!E58,'AES Indiana Bill Calc.'!$D$12&gt;=Inputs!F58,'AES Indiana Bill Calc.'!$D$11&lt;=Inputs!H58,'AES Indiana Bill Calc.'!$D$12&lt;=Inputs!I58,'AES Indiana Bill Calc.'!$D$12-'AES Indiana Bill Calc.'!$D$11&gt;=27,'AES Indiana Bill Calc.'!$D$12-'AES Indiana Bill Calc.'!$D$11&lt;=34),"X",)</f>
        <v>0</v>
      </c>
      <c r="D58" s="166">
        <v>45352</v>
      </c>
      <c r="E58" s="123">
        <f t="shared" si="5"/>
        <v>45322</v>
      </c>
      <c r="F58" s="123">
        <v>45351</v>
      </c>
      <c r="G58" s="59">
        <f t="shared" si="4"/>
        <v>29</v>
      </c>
      <c r="H58" s="123">
        <f t="shared" ref="H58:H67" si="6">I57</f>
        <v>45350</v>
      </c>
      <c r="I58" s="132">
        <v>45378</v>
      </c>
      <c r="J58" s="59">
        <f>I58-H58</f>
        <v>28</v>
      </c>
      <c r="K58" s="130" t="s">
        <v>294</v>
      </c>
    </row>
    <row r="59" spans="3:11" x14ac:dyDescent="0.2">
      <c r="C59">
        <f>IF(AND('AES Indiana Bill Calc.'!$D$11&gt;=Inputs!E59,'AES Indiana Bill Calc.'!$D$12&gt;=Inputs!F59,'AES Indiana Bill Calc.'!$D$11&lt;=Inputs!H59,'AES Indiana Bill Calc.'!$D$12&lt;=Inputs!I59,'AES Indiana Bill Calc.'!$D$12-'AES Indiana Bill Calc.'!$D$11&gt;=27,'AES Indiana Bill Calc.'!$D$12-'AES Indiana Bill Calc.'!$D$11&lt;=34),"X",)</f>
        <v>0</v>
      </c>
      <c r="D59" s="166">
        <v>45383</v>
      </c>
      <c r="E59" s="123">
        <f t="shared" si="5"/>
        <v>45351</v>
      </c>
      <c r="F59" s="123">
        <v>45380</v>
      </c>
      <c r="G59" s="59">
        <f t="shared" si="4"/>
        <v>29</v>
      </c>
      <c r="H59" s="123">
        <f t="shared" si="6"/>
        <v>45378</v>
      </c>
      <c r="I59" s="123">
        <v>45411</v>
      </c>
      <c r="J59" s="59">
        <f t="shared" si="3"/>
        <v>33</v>
      </c>
      <c r="K59" s="130" t="s">
        <v>295</v>
      </c>
    </row>
    <row r="60" spans="3:11" x14ac:dyDescent="0.2">
      <c r="C60">
        <f>IF(AND('AES Indiana Bill Calc.'!$D$11&gt;=Inputs!E60,'AES Indiana Bill Calc.'!$D$12&gt;=Inputs!F60,'AES Indiana Bill Calc.'!$D$11&lt;=Inputs!H60,'AES Indiana Bill Calc.'!$D$12&lt;=Inputs!I60,'AES Indiana Bill Calc.'!$D$12-'AES Indiana Bill Calc.'!$D$11&gt;=27,'AES Indiana Bill Calc.'!$D$12-'AES Indiana Bill Calc.'!$D$11&lt;=34),"X",)</f>
        <v>0</v>
      </c>
      <c r="D60" s="166">
        <v>45413</v>
      </c>
      <c r="E60" s="123">
        <f t="shared" si="5"/>
        <v>45380</v>
      </c>
      <c r="F60" s="123">
        <v>45412</v>
      </c>
      <c r="G60" s="59">
        <f t="shared" si="4"/>
        <v>32</v>
      </c>
      <c r="H60" s="123">
        <f t="shared" si="6"/>
        <v>45411</v>
      </c>
      <c r="I60" s="123">
        <v>45442</v>
      </c>
      <c r="J60" s="59">
        <f t="shared" si="3"/>
        <v>31</v>
      </c>
      <c r="K60" s="130" t="s">
        <v>319</v>
      </c>
    </row>
    <row r="61" spans="3:11" x14ac:dyDescent="0.2">
      <c r="C61">
        <f>IF(AND('AES Indiana Bill Calc.'!$D$11&gt;=Inputs!E61,'AES Indiana Bill Calc.'!$D$12&gt;=Inputs!F61,'AES Indiana Bill Calc.'!$D$11&lt;=Inputs!H61,'AES Indiana Bill Calc.'!$D$12&lt;=Inputs!I61,'AES Indiana Bill Calc.'!$D$12-'AES Indiana Bill Calc.'!$D$11&gt;=27,'AES Indiana Bill Calc.'!$D$12-'AES Indiana Bill Calc.'!$D$11&lt;=34),"X",)</f>
        <v>0</v>
      </c>
      <c r="D61" s="166">
        <v>45444</v>
      </c>
      <c r="E61" s="123">
        <f t="shared" si="5"/>
        <v>45412</v>
      </c>
      <c r="F61" s="123">
        <v>45443</v>
      </c>
      <c r="G61" s="59">
        <f t="shared" si="4"/>
        <v>31</v>
      </c>
      <c r="H61" s="123">
        <f t="shared" si="6"/>
        <v>45442</v>
      </c>
      <c r="I61" s="123">
        <v>45470</v>
      </c>
      <c r="J61" s="59">
        <f t="shared" si="3"/>
        <v>28</v>
      </c>
      <c r="K61" s="130" t="s">
        <v>318</v>
      </c>
    </row>
    <row r="62" spans="3:11" x14ac:dyDescent="0.2">
      <c r="C62">
        <f>IF(AND('AES Indiana Bill Calc.'!$D$11&gt;=Inputs!E62,'AES Indiana Bill Calc.'!$D$12&gt;=Inputs!F62,'AES Indiana Bill Calc.'!$D$11&lt;=Inputs!H62,'AES Indiana Bill Calc.'!$D$12&lt;=Inputs!I62,'AES Indiana Bill Calc.'!$D$12-'AES Indiana Bill Calc.'!$D$11&gt;=27,'AES Indiana Bill Calc.'!$D$12-'AES Indiana Bill Calc.'!$D$11&lt;=34),"X",)</f>
        <v>0</v>
      </c>
      <c r="D62" s="166">
        <v>45474</v>
      </c>
      <c r="E62" s="123">
        <f t="shared" si="5"/>
        <v>45443</v>
      </c>
      <c r="F62" s="123">
        <v>45471</v>
      </c>
      <c r="G62" s="59">
        <f t="shared" si="4"/>
        <v>28</v>
      </c>
      <c r="H62" s="123">
        <f t="shared" si="6"/>
        <v>45470</v>
      </c>
      <c r="I62" s="123">
        <v>45503</v>
      </c>
      <c r="J62" s="59">
        <f t="shared" si="3"/>
        <v>33</v>
      </c>
      <c r="K62" s="130" t="str">
        <f>E26</f>
        <v>You are using the correct bill calculator. Please enter your billing information below.</v>
      </c>
    </row>
    <row r="63" spans="3:11" x14ac:dyDescent="0.2">
      <c r="C63">
        <f>IF(AND('AES Indiana Bill Calc.'!$D$11&gt;=Inputs!E63,'AES Indiana Bill Calc.'!$D$12&gt;=Inputs!F63,'AES Indiana Bill Calc.'!$D$11&lt;=Inputs!H63,'AES Indiana Bill Calc.'!$D$12&lt;=Inputs!I63,'AES Indiana Bill Calc.'!$D$12-'AES Indiana Bill Calc.'!$D$11&gt;=27,'AES Indiana Bill Calc.'!$D$12-'AES Indiana Bill Calc.'!$D$11&lt;=34),"X",)</f>
        <v>0</v>
      </c>
      <c r="D63" s="166">
        <v>45505</v>
      </c>
      <c r="E63" s="123">
        <f t="shared" si="5"/>
        <v>45471</v>
      </c>
      <c r="F63" s="123">
        <v>45504</v>
      </c>
      <c r="G63" s="59">
        <f t="shared" si="4"/>
        <v>33</v>
      </c>
      <c r="H63" s="123">
        <f t="shared" si="6"/>
        <v>45503</v>
      </c>
      <c r="I63" s="123">
        <v>45533</v>
      </c>
      <c r="J63" s="59">
        <f t="shared" si="3"/>
        <v>30</v>
      </c>
      <c r="K63" s="130" t="s">
        <v>296</v>
      </c>
    </row>
    <row r="64" spans="3:11" x14ac:dyDescent="0.2">
      <c r="C64">
        <f>IF(AND('AES Indiana Bill Calc.'!$D$11&gt;=Inputs!E64,'AES Indiana Bill Calc.'!$D$12&gt;=Inputs!F64,'AES Indiana Bill Calc.'!$D$11&lt;=Inputs!H64,'AES Indiana Bill Calc.'!$D$12&lt;=Inputs!I64,'AES Indiana Bill Calc.'!$D$12-'AES Indiana Bill Calc.'!$D$11&gt;=27,'AES Indiana Bill Calc.'!$D$12-'AES Indiana Bill Calc.'!$D$11&lt;=34),"X",)</f>
        <v>0</v>
      </c>
      <c r="D64" s="166">
        <v>45536</v>
      </c>
      <c r="E64" s="123">
        <f t="shared" si="5"/>
        <v>45504</v>
      </c>
      <c r="F64" s="123">
        <v>45534</v>
      </c>
      <c r="G64" s="59">
        <f t="shared" si="4"/>
        <v>30</v>
      </c>
      <c r="H64" s="123">
        <f t="shared" si="6"/>
        <v>45533</v>
      </c>
      <c r="I64" s="123">
        <v>45562</v>
      </c>
      <c r="J64" s="59">
        <f t="shared" si="3"/>
        <v>29</v>
      </c>
      <c r="K64" s="130" t="s">
        <v>296</v>
      </c>
    </row>
    <row r="65" spans="3:11" x14ac:dyDescent="0.2">
      <c r="C65">
        <f>IF(AND('AES Indiana Bill Calc.'!$D$11&gt;=Inputs!E65,'AES Indiana Bill Calc.'!$D$12&gt;=Inputs!F65,'AES Indiana Bill Calc.'!$D$11&lt;=Inputs!H65,'AES Indiana Bill Calc.'!$D$12&lt;=Inputs!I65,'AES Indiana Bill Calc.'!$D$12-'AES Indiana Bill Calc.'!$D$11&gt;=27,'AES Indiana Bill Calc.'!$D$12-'AES Indiana Bill Calc.'!$D$11&lt;=34),"X",)</f>
        <v>0</v>
      </c>
      <c r="D65" s="166">
        <v>45566</v>
      </c>
      <c r="E65" s="123">
        <f t="shared" si="5"/>
        <v>45534</v>
      </c>
      <c r="F65" s="123">
        <v>45565</v>
      </c>
      <c r="G65" s="59">
        <f t="shared" si="4"/>
        <v>31</v>
      </c>
      <c r="H65" s="123">
        <f t="shared" si="6"/>
        <v>45562</v>
      </c>
      <c r="I65" s="123">
        <v>45595</v>
      </c>
      <c r="J65" s="59">
        <f t="shared" si="3"/>
        <v>33</v>
      </c>
      <c r="K65" s="130" t="s">
        <v>296</v>
      </c>
    </row>
    <row r="66" spans="3:11" x14ac:dyDescent="0.2">
      <c r="C66">
        <f>IF(AND('AES Indiana Bill Calc.'!$D$11&gt;=Inputs!E66,'AES Indiana Bill Calc.'!$D$12&gt;=Inputs!F66,'AES Indiana Bill Calc.'!$D$11&lt;=Inputs!H66,'AES Indiana Bill Calc.'!$D$12&lt;=Inputs!I66,'AES Indiana Bill Calc.'!$D$12-'AES Indiana Bill Calc.'!$D$11&gt;=27,'AES Indiana Bill Calc.'!$D$12-'AES Indiana Bill Calc.'!$D$11&lt;=34),"X",)</f>
        <v>0</v>
      </c>
      <c r="D66" s="166">
        <v>45597</v>
      </c>
      <c r="E66" s="123">
        <f t="shared" si="5"/>
        <v>45565</v>
      </c>
      <c r="F66" s="123">
        <v>45596</v>
      </c>
      <c r="G66" s="59">
        <f t="shared" si="4"/>
        <v>31</v>
      </c>
      <c r="H66" s="123">
        <f t="shared" si="6"/>
        <v>45595</v>
      </c>
      <c r="I66" s="123">
        <v>45622</v>
      </c>
      <c r="J66" s="59">
        <f t="shared" si="3"/>
        <v>27</v>
      </c>
      <c r="K66" s="130" t="s">
        <v>296</v>
      </c>
    </row>
    <row r="67" spans="3:11" x14ac:dyDescent="0.2">
      <c r="C67">
        <f>IF(AND('AES Indiana Bill Calc.'!$D$11&gt;=Inputs!E67,'AES Indiana Bill Calc.'!$D$12&gt;=Inputs!F67,'AES Indiana Bill Calc.'!$D$11&lt;=Inputs!H67,'AES Indiana Bill Calc.'!$D$12&lt;=Inputs!I67,'AES Indiana Bill Calc.'!$D$12-'AES Indiana Bill Calc.'!$D$11&gt;=27,'AES Indiana Bill Calc.'!$D$12-'AES Indiana Bill Calc.'!$D$11&lt;=34),"X",)</f>
        <v>0</v>
      </c>
      <c r="D67" s="166">
        <v>45627</v>
      </c>
      <c r="E67" s="123">
        <f t="shared" si="5"/>
        <v>45596</v>
      </c>
      <c r="F67" s="123">
        <v>45623</v>
      </c>
      <c r="G67" s="59">
        <f t="shared" si="4"/>
        <v>27</v>
      </c>
      <c r="H67" s="123">
        <f t="shared" si="6"/>
        <v>45622</v>
      </c>
      <c r="I67" s="123">
        <v>45656</v>
      </c>
      <c r="J67" s="59">
        <f t="shared" si="3"/>
        <v>34</v>
      </c>
      <c r="K67" s="130" t="s">
        <v>296</v>
      </c>
    </row>
    <row r="68" spans="3:11" x14ac:dyDescent="0.2">
      <c r="C68">
        <f>IF('AES Indiana Bill Calc.'!$D$12&lt;'AES Indiana Bill Calc.'!$D$11,"X",)</f>
        <v>0</v>
      </c>
      <c r="D68" s="130" t="s">
        <v>97</v>
      </c>
      <c r="K68" s="130" t="s">
        <v>98</v>
      </c>
    </row>
    <row r="69" spans="3:11" x14ac:dyDescent="0.2">
      <c r="C69">
        <f>IF(AND('AES Indiana Bill Calc.'!$D$12-'AES Indiana Bill Calc.'!$D$11&lt;27,'AES Indiana Bill Calc.'!$D$11&lt;&gt;"", 'AES Indiana Bill Calc.'!$D$12&lt;&gt;"",'AES Indiana Bill Calc.'!$D$12-'AES Indiana Bill Calc.'!$D$11&gt;=0),"X",)</f>
        <v>0</v>
      </c>
      <c r="D69" s="130" t="s">
        <v>99</v>
      </c>
      <c r="G69">
        <v>27</v>
      </c>
      <c r="K69" s="130" t="s">
        <v>100</v>
      </c>
    </row>
    <row r="70" spans="3:11" x14ac:dyDescent="0.2">
      <c r="C70">
        <f>IF(AND('AES Indiana Bill Calc.'!$D$12-'AES Indiana Bill Calc.'!$D$11&gt;34,'AES Indiana Bill Calc.'!$D$11&lt;&gt;"", 'AES Indiana Bill Calc.'!$D$12&lt;&gt;""),"X",)</f>
        <v>0</v>
      </c>
      <c r="D70" s="130" t="s">
        <v>101</v>
      </c>
      <c r="G70">
        <v>35</v>
      </c>
      <c r="K70" s="130" t="s">
        <v>102</v>
      </c>
    </row>
    <row r="71" spans="3:11" x14ac:dyDescent="0.2">
      <c r="C71" t="str">
        <f>IF(OR('AES Indiana Bill Calc.'!D11="",'AES Indiana Bill Calc.'!D12=""),"X",)</f>
        <v>X</v>
      </c>
      <c r="D71" s="130" t="s">
        <v>103</v>
      </c>
    </row>
    <row r="72" spans="3:11" x14ac:dyDescent="0.2">
      <c r="C72">
        <f>IF(OR(C32="X",C33="X",C34="X",C35="X",C36="X",C37="X",C38="X",C39="X",C40="X",C41="X",C42="X",C43="X",C44="X",C45="X",C46="X",C47="X",C48="X",C49="X",C50="X",C51="X",C52="X",C53="X",C54="X",C55="X",C69="X",C70="X",C68="X",C71="X"),0,"X")</f>
        <v>0</v>
      </c>
      <c r="D72" s="130" t="s">
        <v>104</v>
      </c>
      <c r="K72" s="130" t="s">
        <v>105</v>
      </c>
    </row>
    <row r="75" spans="3:11" x14ac:dyDescent="0.2">
      <c r="D75" s="199" t="e">
        <f>IF(AND(G73&gt;=Inputs!$E$40,G74&gt;=Inputs!I102,G74&lt;=Inputs!I103,G73&lt;=Inputs!K102,'AES Indiana Bill Calc.'!#REF!&lt;=Inputs!L102,G74-G73&lt;=34,G74-G73&gt;=26),Inputs!H88,)</f>
        <v>#REF!</v>
      </c>
      <c r="E75" s="199"/>
      <c r="F75" s="199"/>
      <c r="G75" s="199"/>
    </row>
  </sheetData>
  <mergeCells count="6">
    <mergeCell ref="D75:G75"/>
    <mergeCell ref="E2:F2"/>
    <mergeCell ref="E7:F7"/>
    <mergeCell ref="E30:G30"/>
    <mergeCell ref="C29:K29"/>
    <mergeCell ref="H30:J30"/>
  </mergeCells>
  <phoneticPr fontId="5" type="noConversion"/>
  <hyperlinks>
    <hyperlink ref="F19" r:id="rId1" location="page=2" xr:uid="{00000000-0004-0000-0100-000005000000}"/>
    <hyperlink ref="F21" r:id="rId2" location="page=2" xr:uid="{00000000-0004-0000-0100-000006000000}"/>
    <hyperlink ref="F10" r:id="rId3" location="page=2" xr:uid="{8A76D647-53D6-48EC-B4BD-0D270E7B3BAA}"/>
    <hyperlink ref="F11" r:id="rId4" location="page=2" xr:uid="{CB9BA7A0-7C3D-4748-85D2-9438D8CE3B07}"/>
    <hyperlink ref="F12" r:id="rId5" location="page=2" xr:uid="{CBCB4B91-8BB7-4E96-B040-5F97E99D39DC}"/>
    <hyperlink ref="F15" r:id="rId6" location="page=2" xr:uid="{DBA12F74-8800-4F44-AE3D-39F0C5DFFAA8}"/>
    <hyperlink ref="F17" r:id="rId7" location="page=2" xr:uid="{A5D1FD76-6558-4E49-BA45-C89E77B857B7}"/>
    <hyperlink ref="F18" r:id="rId8" xr:uid="{18D52662-AACA-43D3-B0EE-44B4D1E98CDF}"/>
    <hyperlink ref="F20" r:id="rId9" xr:uid="{4BC5472E-08D8-4313-8926-A2BC341F22B9}"/>
    <hyperlink ref="F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190"/>
  <sheetViews>
    <sheetView topLeftCell="A30" zoomScaleNormal="100" workbookViewId="0">
      <selection activeCell="B3" sqref="B3"/>
    </sheetView>
  </sheetViews>
  <sheetFormatPr defaultRowHeight="12.75" x14ac:dyDescent="0.2"/>
  <cols>
    <col min="1" max="1" width="16" customWidth="1"/>
    <col min="2" max="2" width="14.140625" style="2" bestFit="1" customWidth="1"/>
    <col min="3" max="3" width="11.140625" style="2" customWidth="1"/>
    <col min="4" max="4" width="11.140625" bestFit="1" customWidth="1"/>
    <col min="5" max="5" width="11.85546875" bestFit="1"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2" bestFit="1"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145"/>
      <c r="D1" s="146"/>
      <c r="J1" s="90"/>
      <c r="M1" s="12">
        <v>21</v>
      </c>
      <c r="N1" s="12"/>
      <c r="O1" s="12"/>
      <c r="P1" s="12"/>
      <c r="Q1" s="12"/>
      <c r="R1" s="12">
        <v>6</v>
      </c>
      <c r="S1" s="12">
        <v>3</v>
      </c>
      <c r="T1" s="12">
        <v>22</v>
      </c>
      <c r="U1" s="12">
        <v>13</v>
      </c>
      <c r="V1" s="12">
        <v>20</v>
      </c>
      <c r="W1" s="12">
        <v>24</v>
      </c>
      <c r="X1" s="12">
        <v>25</v>
      </c>
      <c r="Y1" s="12">
        <v>26</v>
      </c>
      <c r="Z1" s="52"/>
      <c r="AA1" s="84"/>
    </row>
    <row r="2" spans="1:27" ht="13.5" thickBot="1" x14ac:dyDescent="0.25">
      <c r="B2" s="205" t="s">
        <v>320</v>
      </c>
      <c r="C2" s="206"/>
      <c r="D2" s="206"/>
      <c r="E2" s="207"/>
      <c r="F2" s="44"/>
      <c r="M2" s="13" t="s">
        <v>106</v>
      </c>
      <c r="N2" s="13"/>
      <c r="O2" s="13"/>
      <c r="P2" s="13"/>
      <c r="Q2" s="13"/>
      <c r="R2" s="13" t="s">
        <v>36</v>
      </c>
      <c r="S2" s="139" t="s">
        <v>38</v>
      </c>
      <c r="T2" s="13" t="s">
        <v>107</v>
      </c>
      <c r="U2" s="13" t="s">
        <v>108</v>
      </c>
      <c r="V2" s="13" t="s">
        <v>109</v>
      </c>
      <c r="W2" s="139" t="s">
        <v>44</v>
      </c>
      <c r="X2" s="139" t="s">
        <v>46</v>
      </c>
      <c r="Y2" s="139" t="s">
        <v>48</v>
      </c>
      <c r="Z2" s="66" t="s">
        <v>110</v>
      </c>
      <c r="AA2" s="85"/>
    </row>
    <row r="3" spans="1:27" x14ac:dyDescent="0.2">
      <c r="A3" s="1"/>
      <c r="B3" s="7"/>
      <c r="C3" s="40"/>
      <c r="D3" s="40"/>
      <c r="F3" s="44"/>
      <c r="L3" t="s">
        <v>111</v>
      </c>
      <c r="M3" s="168">
        <v>3.0000000000000001E-3</v>
      </c>
      <c r="N3" s="119"/>
      <c r="O3" s="119"/>
      <c r="P3" s="119"/>
      <c r="Q3" s="119"/>
      <c r="R3" s="119">
        <v>-3.4320000000000002E-3</v>
      </c>
      <c r="S3" s="174">
        <v>1.8929999999999999E-3</v>
      </c>
      <c r="T3" s="119">
        <v>3.5249999999999999E-3</v>
      </c>
      <c r="U3" s="120">
        <v>0</v>
      </c>
      <c r="V3" s="119">
        <v>3.375E-3</v>
      </c>
      <c r="W3" s="119">
        <v>-1.379E-3</v>
      </c>
      <c r="X3" s="119">
        <v>5.5400000000000002E-4</v>
      </c>
      <c r="Y3" s="119">
        <v>-4.7699999999999999E-4</v>
      </c>
      <c r="Z3" s="19">
        <f>SUM(S3:Y3)</f>
        <v>7.4910000000000011E-3</v>
      </c>
      <c r="AA3" s="19"/>
    </row>
    <row r="4" spans="1:27" x14ac:dyDescent="0.2">
      <c r="B4" s="1"/>
      <c r="C4" s="40"/>
      <c r="D4" s="40"/>
      <c r="F4" s="44"/>
      <c r="L4" t="s">
        <v>112</v>
      </c>
      <c r="M4" s="19">
        <f>+M3</f>
        <v>3.0000000000000001E-3</v>
      </c>
      <c r="N4" s="19"/>
      <c r="O4" s="19"/>
      <c r="P4" s="19"/>
      <c r="Q4" s="19"/>
      <c r="R4" s="19">
        <f>R3</f>
        <v>-3.4320000000000002E-3</v>
      </c>
      <c r="S4" s="174">
        <v>1.523E-3</v>
      </c>
      <c r="T4" s="119">
        <v>6.6499999999999997E-3</v>
      </c>
      <c r="U4" s="120">
        <v>0</v>
      </c>
      <c r="V4" s="119">
        <v>3.2620000000000001E-3</v>
      </c>
      <c r="W4" s="119">
        <v>-1.3760000000000001E-3</v>
      </c>
      <c r="X4" s="119">
        <v>4.8899999999999996E-4</v>
      </c>
      <c r="Y4" s="119">
        <v>-4.5600000000000003E-4</v>
      </c>
      <c r="Z4" s="19">
        <f>SUM(S4:Y4)</f>
        <v>1.0092E-2</v>
      </c>
      <c r="AA4" s="19"/>
    </row>
    <row r="5" spans="1:27" x14ac:dyDescent="0.2">
      <c r="A5" s="44"/>
      <c r="B5" s="1"/>
      <c r="C5" s="40"/>
      <c r="D5" s="40"/>
      <c r="F5" s="44"/>
      <c r="K5" t="s">
        <v>113</v>
      </c>
      <c r="L5" t="s">
        <v>114</v>
      </c>
      <c r="M5" s="19">
        <f>+M4</f>
        <v>3.0000000000000001E-3</v>
      </c>
      <c r="N5" s="19"/>
      <c r="O5" s="19"/>
      <c r="P5" s="19"/>
      <c r="Q5" s="19"/>
      <c r="R5" s="19">
        <f>+R4</f>
        <v>-3.4320000000000002E-3</v>
      </c>
      <c r="S5" s="119">
        <v>6.1300000000000005E-4</v>
      </c>
      <c r="T5" s="119">
        <v>5.5240000000000003E-3</v>
      </c>
      <c r="U5" s="120">
        <v>0</v>
      </c>
      <c r="V5" s="102">
        <v>2.9169999999999999E-3</v>
      </c>
      <c r="W5" s="102">
        <v>-9.9299999999999996E-4</v>
      </c>
      <c r="X5" s="102">
        <v>2.5500000000000002E-4</v>
      </c>
      <c r="Y5" s="102">
        <v>-4.08E-4</v>
      </c>
      <c r="Z5" s="19">
        <f>SUM(S5:Y5)</f>
        <v>7.9079999999999984E-3</v>
      </c>
      <c r="AA5" s="19"/>
    </row>
    <row r="6" spans="1:27" x14ac:dyDescent="0.2">
      <c r="A6" s="44"/>
      <c r="B6" s="1"/>
      <c r="C6" s="40"/>
      <c r="D6" s="40"/>
      <c r="F6" s="44"/>
      <c r="J6" s="130" t="s">
        <v>115</v>
      </c>
      <c r="K6" t="s">
        <v>116</v>
      </c>
      <c r="L6" t="s">
        <v>112</v>
      </c>
      <c r="M6" s="19"/>
      <c r="N6" s="19"/>
      <c r="O6" s="19"/>
      <c r="P6" s="19"/>
      <c r="Q6" s="19"/>
      <c r="R6" s="19"/>
      <c r="S6" s="119"/>
      <c r="T6" s="119">
        <v>0</v>
      </c>
      <c r="U6" s="120">
        <v>0</v>
      </c>
      <c r="V6" s="102"/>
      <c r="W6" s="102"/>
      <c r="X6" s="102"/>
      <c r="Y6" s="69"/>
      <c r="Z6" s="19">
        <f>SUM(S6:Y6)</f>
        <v>0</v>
      </c>
      <c r="AA6" s="19"/>
    </row>
    <row r="7" spans="1:27" x14ac:dyDescent="0.2">
      <c r="A7" s="44"/>
      <c r="B7" s="1"/>
      <c r="C7" s="40"/>
      <c r="D7" s="40"/>
      <c r="F7" s="44"/>
      <c r="J7" s="130"/>
      <c r="M7" s="19"/>
      <c r="N7" s="19"/>
      <c r="O7" s="19"/>
      <c r="P7" s="19"/>
      <c r="Q7" s="19"/>
      <c r="R7" s="19"/>
      <c r="S7" s="119"/>
      <c r="T7" s="119"/>
      <c r="U7" s="120"/>
      <c r="V7" s="102"/>
      <c r="W7" s="102"/>
      <c r="X7" s="102"/>
      <c r="Y7" s="69"/>
      <c r="Z7" s="19"/>
      <c r="AA7" s="19"/>
    </row>
    <row r="8" spans="1:27" x14ac:dyDescent="0.2">
      <c r="A8" s="44"/>
      <c r="B8" s="1"/>
      <c r="C8" s="40"/>
      <c r="D8" s="40"/>
      <c r="F8" s="44"/>
      <c r="J8" s="130" t="s">
        <v>115</v>
      </c>
      <c r="K8" t="s">
        <v>116</v>
      </c>
      <c r="L8" t="s">
        <v>114</v>
      </c>
      <c r="M8" s="19"/>
      <c r="N8" s="19"/>
      <c r="O8" s="19"/>
      <c r="P8" s="19"/>
      <c r="Q8" s="19"/>
      <c r="R8" s="19"/>
      <c r="S8" s="119"/>
      <c r="T8" s="119">
        <v>0</v>
      </c>
      <c r="U8" s="120">
        <v>0</v>
      </c>
      <c r="V8" s="102"/>
      <c r="W8" s="102"/>
      <c r="X8" s="102"/>
      <c r="Y8" s="69"/>
      <c r="Z8" s="19">
        <f>SUM(S8:Y8)</f>
        <v>0</v>
      </c>
      <c r="AA8" s="19"/>
    </row>
    <row r="9" spans="1:27" x14ac:dyDescent="0.2">
      <c r="A9" s="44"/>
      <c r="B9" s="1"/>
      <c r="C9" s="40"/>
      <c r="D9" s="40"/>
      <c r="F9" s="44"/>
      <c r="J9" s="130" t="s">
        <v>117</v>
      </c>
      <c r="K9" t="s">
        <v>118</v>
      </c>
      <c r="L9" t="s">
        <v>112</v>
      </c>
      <c r="M9" s="19"/>
      <c r="N9" s="19"/>
      <c r="O9" s="19"/>
      <c r="P9" s="19"/>
      <c r="Q9" s="19"/>
      <c r="R9" s="19"/>
      <c r="S9" s="119"/>
      <c r="T9" s="119">
        <v>0</v>
      </c>
      <c r="U9" s="120">
        <v>0</v>
      </c>
      <c r="V9" s="102"/>
      <c r="W9" s="102"/>
      <c r="X9" s="102"/>
      <c r="Y9" s="69"/>
      <c r="Z9" s="19">
        <f>SUM(S9:Y9)</f>
        <v>0</v>
      </c>
      <c r="AA9" s="19"/>
    </row>
    <row r="10" spans="1:27" x14ac:dyDescent="0.2">
      <c r="A10" s="44"/>
      <c r="B10" s="1"/>
      <c r="C10" s="40"/>
      <c r="D10" s="40"/>
      <c r="F10" s="44"/>
      <c r="J10" s="130" t="s">
        <v>117</v>
      </c>
      <c r="K10" t="s">
        <v>118</v>
      </c>
      <c r="L10" t="s">
        <v>114</v>
      </c>
      <c r="M10" s="19"/>
      <c r="N10" s="19"/>
      <c r="O10" s="19"/>
      <c r="P10" s="19"/>
      <c r="Q10" s="19"/>
      <c r="R10" s="19"/>
      <c r="S10" s="119"/>
      <c r="T10" s="119">
        <v>0</v>
      </c>
      <c r="U10" s="120">
        <v>0</v>
      </c>
      <c r="V10" s="102"/>
      <c r="W10" s="102"/>
      <c r="X10" s="102"/>
      <c r="Y10" s="69"/>
      <c r="Z10" s="19">
        <f>SUM(S10:Y10)</f>
        <v>0</v>
      </c>
      <c r="AA10" s="19"/>
    </row>
    <row r="11" spans="1:27" x14ac:dyDescent="0.2">
      <c r="A11" s="44"/>
      <c r="B11" s="1"/>
      <c r="C11" s="40"/>
      <c r="D11" s="40"/>
      <c r="F11" s="44"/>
      <c r="J11" s="130" t="s">
        <v>119</v>
      </c>
      <c r="K11" s="130" t="s">
        <v>120</v>
      </c>
      <c r="L11" t="s">
        <v>112</v>
      </c>
      <c r="M11" s="19"/>
      <c r="N11" s="19"/>
      <c r="O11" s="19"/>
      <c r="P11" s="19"/>
      <c r="Q11" s="19"/>
      <c r="R11" s="19"/>
      <c r="S11" s="119"/>
      <c r="T11" s="119">
        <v>0</v>
      </c>
      <c r="U11" s="120">
        <v>0</v>
      </c>
      <c r="V11" s="102"/>
      <c r="W11" s="102"/>
      <c r="X11" s="102"/>
      <c r="Y11" s="69"/>
      <c r="Z11" s="19">
        <f>SUM($S$4, T11, $U$4:$Y$4)</f>
        <v>3.4419999999999997E-3</v>
      </c>
      <c r="AA11" s="19"/>
    </row>
    <row r="12" spans="1:27" x14ac:dyDescent="0.2">
      <c r="A12" s="44"/>
      <c r="B12" s="1"/>
      <c r="C12" s="40"/>
      <c r="D12" s="40"/>
      <c r="F12" s="44"/>
      <c r="J12" s="130" t="s">
        <v>119</v>
      </c>
      <c r="K12" s="130" t="s">
        <v>120</v>
      </c>
      <c r="L12" t="s">
        <v>114</v>
      </c>
      <c r="M12" s="19"/>
      <c r="N12" s="19"/>
      <c r="O12" s="19"/>
      <c r="P12" s="19"/>
      <c r="Q12" s="19"/>
      <c r="R12" s="19"/>
      <c r="S12" s="119"/>
      <c r="T12" s="119">
        <v>0</v>
      </c>
      <c r="U12" s="120">
        <v>0</v>
      </c>
      <c r="V12" s="102"/>
      <c r="W12" s="102"/>
      <c r="X12" s="102"/>
      <c r="Y12" s="69"/>
      <c r="Z12" s="19">
        <f>SUM($S$5, T12, $U$5:$Y$5)</f>
        <v>2.3840000000000003E-3</v>
      </c>
      <c r="AA12" s="19"/>
    </row>
    <row r="13" spans="1:27" x14ac:dyDescent="0.2">
      <c r="A13" s="44"/>
      <c r="B13" s="1"/>
      <c r="C13" s="40"/>
      <c r="D13" s="40"/>
      <c r="F13" s="44"/>
      <c r="J13" s="130" t="s">
        <v>121</v>
      </c>
      <c r="K13" s="130" t="s">
        <v>122</v>
      </c>
      <c r="L13" t="s">
        <v>112</v>
      </c>
      <c r="M13" s="19"/>
      <c r="N13" s="19"/>
      <c r="O13" s="19"/>
      <c r="P13" s="19"/>
      <c r="Q13" s="19"/>
      <c r="R13" s="19"/>
      <c r="S13" s="119"/>
      <c r="T13" s="119">
        <v>0</v>
      </c>
      <c r="U13" s="120"/>
      <c r="V13" s="102"/>
      <c r="W13" s="102"/>
      <c r="X13" s="102"/>
      <c r="Y13" s="69"/>
      <c r="Z13" s="19">
        <f>SUM($S$4, T13, $U$4:$Y$4)</f>
        <v>3.4419999999999997E-3</v>
      </c>
      <c r="AA13" s="19"/>
    </row>
    <row r="14" spans="1:27" x14ac:dyDescent="0.2">
      <c r="A14" s="44"/>
      <c r="B14" s="145"/>
      <c r="C14" s="40"/>
      <c r="D14" s="40"/>
      <c r="F14" s="44"/>
      <c r="J14" s="130" t="s">
        <v>121</v>
      </c>
      <c r="K14" s="130" t="s">
        <v>122</v>
      </c>
      <c r="L14" t="s">
        <v>114</v>
      </c>
      <c r="M14" s="19"/>
      <c r="N14" s="19"/>
      <c r="O14" s="19"/>
      <c r="P14" s="19"/>
      <c r="Q14" s="19"/>
      <c r="R14" s="19"/>
      <c r="S14" s="119"/>
      <c r="T14" s="119">
        <v>0</v>
      </c>
      <c r="U14" s="120"/>
      <c r="V14" s="102"/>
      <c r="W14" s="102"/>
      <c r="X14" s="102"/>
      <c r="Y14" s="69"/>
      <c r="Z14" s="19">
        <f>SUM($S$5, T14, $U$5:$Y$5)</f>
        <v>2.3840000000000003E-3</v>
      </c>
      <c r="AA14" s="19"/>
    </row>
    <row r="15" spans="1:27" x14ac:dyDescent="0.2">
      <c r="A15" s="44"/>
      <c r="B15"/>
      <c r="C15" s="40"/>
      <c r="D15" s="40"/>
      <c r="F15" s="44"/>
      <c r="J15" s="130" t="s">
        <v>123</v>
      </c>
      <c r="K15" s="130" t="s">
        <v>124</v>
      </c>
      <c r="L15" t="s">
        <v>112</v>
      </c>
      <c r="M15" s="19"/>
      <c r="N15" s="19"/>
      <c r="O15" s="19"/>
      <c r="P15" s="19"/>
      <c r="Q15" s="19"/>
      <c r="R15" s="19"/>
      <c r="S15" s="119"/>
      <c r="T15" s="171">
        <v>1.37E-4</v>
      </c>
      <c r="U15" s="120"/>
      <c r="V15" s="102"/>
      <c r="W15" s="102"/>
      <c r="X15" s="102"/>
      <c r="Y15" s="69"/>
      <c r="Z15" s="19"/>
      <c r="AA15" s="19"/>
    </row>
    <row r="16" spans="1:27" x14ac:dyDescent="0.2">
      <c r="A16" s="44"/>
      <c r="B16"/>
      <c r="C16" s="40"/>
      <c r="D16" s="40"/>
      <c r="F16" s="44"/>
      <c r="J16" s="130" t="s">
        <v>125</v>
      </c>
      <c r="K16" s="130" t="s">
        <v>124</v>
      </c>
      <c r="L16" t="s">
        <v>114</v>
      </c>
      <c r="M16" s="19"/>
      <c r="N16" s="19"/>
      <c r="O16" s="19"/>
      <c r="P16" s="19"/>
      <c r="Q16" s="19"/>
      <c r="R16" s="19"/>
      <c r="S16" s="119"/>
      <c r="T16" s="171">
        <v>-4.3999999999999999E-5</v>
      </c>
      <c r="U16" s="120"/>
      <c r="V16" s="102"/>
      <c r="W16" s="102"/>
      <c r="X16" s="102"/>
      <c r="Y16" s="69"/>
      <c r="Z16" s="19"/>
      <c r="AA16" s="19"/>
    </row>
    <row r="17" spans="1:27" x14ac:dyDescent="0.2">
      <c r="A17" s="44"/>
      <c r="B17"/>
      <c r="C17" s="40"/>
      <c r="F17" s="44"/>
      <c r="J17" s="130" t="s">
        <v>126</v>
      </c>
      <c r="K17" s="130" t="s">
        <v>124</v>
      </c>
      <c r="L17" s="130" t="s">
        <v>127</v>
      </c>
      <c r="M17" s="19"/>
      <c r="N17" s="19"/>
      <c r="O17" s="19"/>
      <c r="P17" s="19"/>
      <c r="Q17" s="19"/>
      <c r="R17" s="19"/>
      <c r="S17" s="119"/>
      <c r="T17" s="171">
        <v>0</v>
      </c>
      <c r="U17" s="120"/>
      <c r="V17" s="102"/>
      <c r="W17" s="102"/>
      <c r="X17" s="102"/>
      <c r="Y17" s="69"/>
      <c r="Z17" s="19"/>
      <c r="AA17" s="19"/>
    </row>
    <row r="18" spans="1:27" x14ac:dyDescent="0.2">
      <c r="A18" s="44"/>
      <c r="B18"/>
      <c r="C18" s="40"/>
      <c r="F18" s="44"/>
      <c r="J18" s="130"/>
      <c r="K18" s="130" t="s">
        <v>128</v>
      </c>
      <c r="L18" s="130" t="s">
        <v>112</v>
      </c>
      <c r="M18" s="19"/>
      <c r="N18" s="19"/>
      <c r="O18" s="19"/>
      <c r="P18" s="19"/>
      <c r="Q18" s="19"/>
      <c r="R18" s="19"/>
      <c r="S18" s="119"/>
      <c r="T18" s="171">
        <v>-9.0000000000000002E-6</v>
      </c>
      <c r="U18" s="120"/>
      <c r="V18" s="102"/>
      <c r="W18" s="102"/>
      <c r="X18" s="102"/>
      <c r="Y18" s="69"/>
      <c r="Z18" s="19"/>
      <c r="AA18" s="19"/>
    </row>
    <row r="19" spans="1:27" x14ac:dyDescent="0.2">
      <c r="A19" s="44"/>
      <c r="B19"/>
      <c r="C19" s="40"/>
      <c r="F19" s="44"/>
      <c r="J19" s="130"/>
      <c r="K19" s="130" t="s">
        <v>128</v>
      </c>
      <c r="L19" s="130" t="s">
        <v>114</v>
      </c>
      <c r="M19" s="19"/>
      <c r="N19" s="19"/>
      <c r="O19" s="19"/>
      <c r="P19" s="19"/>
      <c r="Q19" s="19"/>
      <c r="R19" s="19"/>
      <c r="S19" s="119"/>
      <c r="T19" s="171">
        <v>1.15E-4</v>
      </c>
      <c r="U19" s="120"/>
      <c r="V19" s="102"/>
      <c r="W19" s="102"/>
      <c r="X19" s="102"/>
      <c r="Y19" s="69"/>
      <c r="Z19" s="19"/>
      <c r="AA19" s="19"/>
    </row>
    <row r="20" spans="1:27" x14ac:dyDescent="0.2">
      <c r="A20" s="44"/>
      <c r="B20"/>
      <c r="C20" s="40"/>
      <c r="F20" s="44"/>
      <c r="J20" s="130"/>
      <c r="K20" s="130" t="s">
        <v>129</v>
      </c>
      <c r="L20" s="130" t="s">
        <v>112</v>
      </c>
      <c r="M20" s="19"/>
      <c r="N20" s="19"/>
      <c r="O20" s="19"/>
      <c r="P20" s="19"/>
      <c r="Q20" s="19"/>
      <c r="R20" s="19"/>
      <c r="S20" s="119"/>
      <c r="T20" s="171">
        <v>-2.5500000000000002E-4</v>
      </c>
      <c r="U20" s="120"/>
      <c r="V20" s="102"/>
      <c r="W20" s="102"/>
      <c r="X20" s="102"/>
      <c r="Y20" s="69"/>
      <c r="Z20" s="19"/>
      <c r="AA20" s="19"/>
    </row>
    <row r="21" spans="1:27" x14ac:dyDescent="0.2">
      <c r="A21" s="44"/>
      <c r="B21"/>
      <c r="C21" s="40"/>
      <c r="F21" s="44"/>
      <c r="I21" s="130"/>
      <c r="J21" s="130"/>
      <c r="K21" s="130" t="s">
        <v>129</v>
      </c>
      <c r="L21" s="130" t="s">
        <v>114</v>
      </c>
      <c r="M21" s="19"/>
      <c r="N21" s="19"/>
      <c r="O21" s="19"/>
      <c r="P21" s="19"/>
      <c r="Q21" s="19"/>
      <c r="R21" s="19"/>
      <c r="S21" s="119"/>
      <c r="T21" s="171">
        <v>4.6099999999999998E-4</v>
      </c>
      <c r="U21" s="120"/>
      <c r="V21" s="102"/>
      <c r="W21" s="102"/>
      <c r="X21" s="102"/>
      <c r="Y21" s="69"/>
      <c r="Z21" s="19"/>
      <c r="AA21" s="19"/>
    </row>
    <row r="22" spans="1:27" x14ac:dyDescent="0.2">
      <c r="A22" s="44"/>
      <c r="B22"/>
      <c r="C22" s="40"/>
      <c r="F22" s="44"/>
      <c r="I22" s="130"/>
      <c r="J22" s="130"/>
      <c r="K22" s="130" t="s">
        <v>130</v>
      </c>
      <c r="L22" s="130" t="s">
        <v>112</v>
      </c>
      <c r="M22" s="19"/>
      <c r="N22" s="19"/>
      <c r="O22" s="19"/>
      <c r="P22" s="19"/>
      <c r="Q22" s="19"/>
      <c r="R22" s="19"/>
      <c r="S22" s="119"/>
      <c r="T22" s="171">
        <v>-2.941E-3</v>
      </c>
      <c r="U22" s="120"/>
      <c r="V22" s="102"/>
      <c r="W22" s="102"/>
      <c r="X22" s="102"/>
      <c r="Y22" s="69"/>
      <c r="Z22" s="19"/>
      <c r="AA22" s="19"/>
    </row>
    <row r="23" spans="1:27" x14ac:dyDescent="0.2">
      <c r="A23" s="44"/>
      <c r="B23"/>
      <c r="C23" s="40"/>
      <c r="F23" s="44"/>
      <c r="J23" s="130"/>
      <c r="K23" s="130" t="s">
        <v>130</v>
      </c>
      <c r="L23" s="130" t="s">
        <v>114</v>
      </c>
      <c r="M23" s="19"/>
      <c r="N23" s="19"/>
      <c r="O23" s="19"/>
      <c r="P23" s="19"/>
      <c r="Q23" s="19"/>
      <c r="R23" s="19"/>
      <c r="S23" s="119"/>
      <c r="T23" s="171">
        <v>-8.1300000000000003E-4</v>
      </c>
      <c r="U23" s="120"/>
      <c r="V23" s="102"/>
      <c r="W23" s="102"/>
      <c r="X23" s="102"/>
      <c r="Y23" s="69"/>
      <c r="Z23" s="19"/>
      <c r="AA23" s="19"/>
    </row>
    <row r="24" spans="1:27" ht="13.5" customHeight="1" x14ac:dyDescent="0.2">
      <c r="A24" s="44"/>
      <c r="B24"/>
      <c r="F24" s="44"/>
      <c r="J24" s="130"/>
      <c r="K24" s="130" t="s">
        <v>131</v>
      </c>
      <c r="L24" s="130" t="s">
        <v>112</v>
      </c>
      <c r="M24" s="19"/>
      <c r="N24" s="19"/>
      <c r="O24" s="19"/>
      <c r="P24" s="19"/>
      <c r="Q24" s="19"/>
      <c r="R24" s="19"/>
      <c r="S24" s="119"/>
      <c r="T24" s="171">
        <v>0</v>
      </c>
      <c r="U24" s="120"/>
      <c r="V24" s="102"/>
      <c r="W24" s="102"/>
      <c r="X24" s="102"/>
      <c r="Y24" s="69"/>
      <c r="Z24" s="19"/>
      <c r="AA24" s="19"/>
    </row>
    <row r="25" spans="1:27" ht="13.5" customHeight="1" x14ac:dyDescent="0.2">
      <c r="A25" s="44"/>
      <c r="B25"/>
      <c r="F25" s="44"/>
      <c r="J25" s="130"/>
      <c r="K25" s="130" t="s">
        <v>131</v>
      </c>
      <c r="L25" s="130" t="s">
        <v>114</v>
      </c>
      <c r="M25" s="19"/>
      <c r="N25" s="19"/>
      <c r="O25" s="19"/>
      <c r="P25" s="19"/>
      <c r="Q25" s="19"/>
      <c r="R25" s="19"/>
      <c r="S25" s="119"/>
      <c r="T25" s="171">
        <v>0</v>
      </c>
      <c r="U25" s="120"/>
      <c r="V25" s="102"/>
      <c r="W25" s="102"/>
      <c r="X25" s="102"/>
      <c r="Y25" s="69"/>
      <c r="Z25" s="19"/>
      <c r="AA25" s="19"/>
    </row>
    <row r="26" spans="1:27" ht="13.5" customHeight="1" x14ac:dyDescent="0.2">
      <c r="A26" s="44"/>
      <c r="B26"/>
      <c r="F26" s="44"/>
      <c r="J26" s="130"/>
      <c r="K26" s="130" t="s">
        <v>132</v>
      </c>
      <c r="L26" s="130" t="s">
        <v>112</v>
      </c>
      <c r="M26" s="19"/>
      <c r="N26" s="19"/>
      <c r="O26" s="19"/>
      <c r="P26" s="19"/>
      <c r="Q26" s="19"/>
      <c r="R26" s="19"/>
      <c r="S26" s="119"/>
      <c r="T26" s="171">
        <v>0</v>
      </c>
      <c r="U26" s="120"/>
      <c r="V26" s="102"/>
      <c r="W26" s="102"/>
      <c r="X26" s="102"/>
      <c r="Y26" s="69"/>
      <c r="Z26" s="19"/>
      <c r="AA26" s="19"/>
    </row>
    <row r="27" spans="1:27" ht="13.5" customHeight="1" x14ac:dyDescent="0.2">
      <c r="A27" s="44"/>
      <c r="B27"/>
      <c r="F27" s="44"/>
      <c r="J27" s="130"/>
      <c r="K27" s="130" t="s">
        <v>132</v>
      </c>
      <c r="L27" s="130" t="s">
        <v>114</v>
      </c>
      <c r="M27" s="19"/>
      <c r="N27" s="19"/>
      <c r="O27" s="19"/>
      <c r="P27" s="19"/>
      <c r="Q27" s="19"/>
      <c r="R27" s="19"/>
      <c r="S27" s="119"/>
      <c r="T27" s="171">
        <v>0</v>
      </c>
      <c r="U27" s="120"/>
      <c r="V27" s="102"/>
      <c r="W27" s="102"/>
      <c r="X27" s="102"/>
      <c r="Y27" s="69"/>
      <c r="Z27" s="19"/>
      <c r="AA27" s="19"/>
    </row>
    <row r="28" spans="1:27" ht="13.5" customHeight="1" x14ac:dyDescent="0.2">
      <c r="A28" s="44"/>
      <c r="B28"/>
      <c r="F28" s="44"/>
      <c r="J28" s="130"/>
      <c r="K28" s="172" t="s">
        <v>298</v>
      </c>
      <c r="L28" s="172" t="s">
        <v>112</v>
      </c>
      <c r="M28" s="19"/>
      <c r="N28" s="19"/>
      <c r="O28" s="19"/>
      <c r="P28" s="19"/>
      <c r="Q28" s="19"/>
      <c r="R28" s="19"/>
      <c r="S28" s="119"/>
      <c r="T28" s="168">
        <v>1.15E-3</v>
      </c>
      <c r="U28" s="120"/>
      <c r="V28" s="102"/>
      <c r="W28" s="102"/>
      <c r="X28" s="102"/>
      <c r="Y28" s="69"/>
      <c r="Z28" s="19"/>
      <c r="AA28" s="19"/>
    </row>
    <row r="29" spans="1:27" ht="13.5" customHeight="1" x14ac:dyDescent="0.2">
      <c r="A29" s="44"/>
      <c r="B29"/>
      <c r="F29" s="44"/>
      <c r="J29" s="130"/>
      <c r="K29" s="172" t="s">
        <v>298</v>
      </c>
      <c r="L29" s="172" t="s">
        <v>114</v>
      </c>
      <c r="M29" s="19"/>
      <c r="N29" s="19"/>
      <c r="O29" s="19"/>
      <c r="P29" s="19"/>
      <c r="Q29" s="19"/>
      <c r="R29" s="19"/>
      <c r="S29" s="119"/>
      <c r="T29" s="168">
        <v>2.6050000000000001E-3</v>
      </c>
      <c r="U29" s="120"/>
      <c r="V29" s="102"/>
      <c r="W29" s="102"/>
      <c r="X29" s="102"/>
      <c r="Y29" s="69"/>
      <c r="Z29" s="19"/>
      <c r="AA29" s="19"/>
    </row>
    <row r="30" spans="1:27" x14ac:dyDescent="0.2">
      <c r="A30" s="44"/>
      <c r="F30" s="65"/>
      <c r="L30" t="s">
        <v>133</v>
      </c>
      <c r="M30" s="19">
        <f>M3</f>
        <v>3.0000000000000001E-3</v>
      </c>
      <c r="N30" s="19"/>
      <c r="O30" s="19"/>
      <c r="P30" s="19"/>
      <c r="Q30" s="19"/>
      <c r="R30" s="19"/>
      <c r="S30" s="101">
        <v>1.305E-3</v>
      </c>
      <c r="T30" s="169"/>
      <c r="U30" s="120">
        <v>0</v>
      </c>
      <c r="V30" s="102">
        <v>2.5569999999999998E-3</v>
      </c>
      <c r="W30" s="102">
        <v>-1.771E-3</v>
      </c>
      <c r="X30" s="102">
        <v>6.2500000000000001E-4</v>
      </c>
      <c r="Y30" s="102">
        <v>-3.4600000000000001E-4</v>
      </c>
      <c r="Z30" s="19">
        <f>SUM(S30:Y30)</f>
        <v>2.3700000000000001E-3</v>
      </c>
      <c r="AA30" s="19"/>
    </row>
    <row r="31" spans="1:27" x14ac:dyDescent="0.2">
      <c r="A31" s="44"/>
      <c r="C31" s="3"/>
      <c r="F31" s="65"/>
      <c r="L31" t="s">
        <v>134</v>
      </c>
      <c r="M31" s="19"/>
      <c r="N31" s="19"/>
      <c r="O31" s="19"/>
      <c r="P31" s="19"/>
      <c r="Q31" s="19"/>
      <c r="R31" s="19"/>
      <c r="S31" s="101">
        <v>1.305E-3</v>
      </c>
      <c r="T31" s="169"/>
      <c r="U31" s="120"/>
      <c r="V31" s="102">
        <v>2.5569999999999998E-3</v>
      </c>
      <c r="W31" s="102">
        <v>-1.771E-3</v>
      </c>
      <c r="X31" s="102">
        <v>6.2500000000000001E-4</v>
      </c>
      <c r="Y31" s="102">
        <v>-3.4600000000000001E-4</v>
      </c>
      <c r="Z31" s="19"/>
      <c r="AA31" s="19"/>
    </row>
    <row r="32" spans="1:27" x14ac:dyDescent="0.2">
      <c r="A32" s="44"/>
      <c r="C32" s="4"/>
      <c r="J32" s="130" t="s">
        <v>135</v>
      </c>
      <c r="L32" s="130" t="s">
        <v>127</v>
      </c>
      <c r="R32" s="118">
        <v>7.4180000000000001E-3</v>
      </c>
      <c r="S32" s="101">
        <v>1.305E-3</v>
      </c>
      <c r="T32" s="168">
        <v>6.2779999999999997E-3</v>
      </c>
      <c r="U32" s="6">
        <v>0</v>
      </c>
      <c r="V32" s="102">
        <v>2.5569999999999998E-3</v>
      </c>
      <c r="W32" s="102">
        <v>7.4399999999999998E-4</v>
      </c>
      <c r="X32" s="102">
        <v>5.4299999999999997E-4</v>
      </c>
      <c r="Y32" s="102">
        <v>8.2999999999999998E-5</v>
      </c>
      <c r="Z32" s="19">
        <f>SUM(S32:Y32)</f>
        <v>1.1509999999999999E-2</v>
      </c>
      <c r="AA32" s="19"/>
    </row>
    <row r="33" spans="1:29" x14ac:dyDescent="0.2">
      <c r="A33" s="44"/>
      <c r="C33" s="7"/>
      <c r="G33" s="130"/>
      <c r="K33" s="130" t="s">
        <v>116</v>
      </c>
      <c r="L33" s="130" t="s">
        <v>127</v>
      </c>
      <c r="T33" s="93">
        <v>0</v>
      </c>
    </row>
    <row r="34" spans="1:29" x14ac:dyDescent="0.2">
      <c r="A34" s="44"/>
      <c r="C34" s="7"/>
      <c r="K34" s="130" t="s">
        <v>120</v>
      </c>
      <c r="L34" s="130"/>
      <c r="T34" s="93">
        <v>0</v>
      </c>
    </row>
    <row r="35" spans="1:29" x14ac:dyDescent="0.2">
      <c r="A35" s="44"/>
      <c r="C35" s="7"/>
      <c r="K35" s="130" t="s">
        <v>122</v>
      </c>
      <c r="L35" s="130"/>
      <c r="T35" s="93">
        <v>0</v>
      </c>
    </row>
    <row r="36" spans="1:29" x14ac:dyDescent="0.2">
      <c r="A36" s="44"/>
      <c r="C36" s="7"/>
      <c r="K36" s="130" t="s">
        <v>124</v>
      </c>
      <c r="L36" s="130"/>
      <c r="T36" s="93">
        <v>0</v>
      </c>
    </row>
    <row r="37" spans="1:29" x14ac:dyDescent="0.2">
      <c r="A37" s="44"/>
      <c r="C37" s="7"/>
      <c r="K37" s="130" t="s">
        <v>128</v>
      </c>
      <c r="L37" s="130"/>
      <c r="T37" s="93">
        <v>0</v>
      </c>
    </row>
    <row r="38" spans="1:29" x14ac:dyDescent="0.2">
      <c r="A38" s="44"/>
      <c r="C38" s="7"/>
      <c r="K38" s="130" t="s">
        <v>116</v>
      </c>
      <c r="L38" s="130"/>
      <c r="T38" s="93">
        <v>0</v>
      </c>
    </row>
    <row r="39" spans="1:29" x14ac:dyDescent="0.2">
      <c r="A39" s="44"/>
      <c r="C39" s="7"/>
      <c r="K39" s="130" t="s">
        <v>136</v>
      </c>
      <c r="L39" s="130"/>
      <c r="T39" s="93">
        <v>2.892E-3</v>
      </c>
    </row>
    <row r="40" spans="1:29" x14ac:dyDescent="0.2">
      <c r="B40" s="1"/>
      <c r="C40" s="7"/>
      <c r="F40" s="72">
        <v>12.5</v>
      </c>
      <c r="G40" s="72"/>
      <c r="H40" s="72"/>
      <c r="I40" s="72"/>
      <c r="J40" s="161">
        <v>17</v>
      </c>
      <c r="K40" s="162">
        <v>0.125421</v>
      </c>
      <c r="L40" s="162">
        <v>0.11382200000000001</v>
      </c>
      <c r="S40" s="27">
        <f>+M$3</f>
        <v>3.0000000000000001E-3</v>
      </c>
      <c r="T40" s="27">
        <f t="shared" ref="T40:Z40" si="0">+R$3</f>
        <v>-3.4320000000000002E-3</v>
      </c>
      <c r="U40" s="27">
        <f t="shared" si="0"/>
        <v>1.8929999999999999E-3</v>
      </c>
      <c r="V40" s="27">
        <f t="shared" si="0"/>
        <v>3.5249999999999999E-3</v>
      </c>
      <c r="W40" s="27">
        <f t="shared" si="0"/>
        <v>0</v>
      </c>
      <c r="X40" s="27">
        <f t="shared" si="0"/>
        <v>3.375E-3</v>
      </c>
      <c r="Y40" s="27">
        <f t="shared" si="0"/>
        <v>-1.379E-3</v>
      </c>
      <c r="Z40" s="27">
        <f t="shared" si="0"/>
        <v>5.5400000000000002E-4</v>
      </c>
      <c r="AA40" s="27">
        <f>Y3</f>
        <v>-4.7699999999999999E-4</v>
      </c>
      <c r="AB40" s="19">
        <f>SUM(U40:Z40)</f>
        <v>7.9680000000000011E-3</v>
      </c>
    </row>
    <row r="41" spans="1:29" x14ac:dyDescent="0.2">
      <c r="A41" s="11"/>
      <c r="F41" s="72"/>
      <c r="G41" s="70"/>
      <c r="H41" s="70"/>
      <c r="I41" s="70"/>
      <c r="J41" s="73">
        <v>325</v>
      </c>
      <c r="K41" s="73">
        <v>500</v>
      </c>
      <c r="L41" s="73"/>
      <c r="M41" s="9"/>
      <c r="N41" s="9"/>
      <c r="O41" s="9"/>
      <c r="P41" s="9"/>
      <c r="Q41" s="9"/>
      <c r="R41" s="9"/>
      <c r="S41" s="10"/>
      <c r="T41" s="10"/>
      <c r="W41" s="10"/>
      <c r="X41" s="10"/>
      <c r="Y41" s="10"/>
      <c r="Z41" s="10"/>
      <c r="AA41" s="10"/>
    </row>
    <row r="42" spans="1:29" x14ac:dyDescent="0.2">
      <c r="C42" s="11"/>
      <c r="D42" s="12"/>
      <c r="F42" s="12"/>
      <c r="J42" s="12" t="s">
        <v>137</v>
      </c>
      <c r="K42" s="204" t="s">
        <v>28</v>
      </c>
      <c r="L42" s="204"/>
      <c r="M42" s="12"/>
      <c r="N42" s="143" t="s">
        <v>138</v>
      </c>
      <c r="O42" s="12"/>
      <c r="P42" s="12"/>
      <c r="Q42" s="12"/>
      <c r="R42" s="12"/>
      <c r="S42" s="12">
        <v>21</v>
      </c>
      <c r="T42" s="12">
        <v>6</v>
      </c>
      <c r="U42" s="12">
        <v>3</v>
      </c>
      <c r="V42" s="12">
        <v>22</v>
      </c>
      <c r="W42" s="12">
        <v>13</v>
      </c>
      <c r="X42" s="12">
        <v>20</v>
      </c>
      <c r="Y42" s="12">
        <v>24</v>
      </c>
      <c r="Z42" s="12">
        <v>25</v>
      </c>
      <c r="AA42" s="12">
        <v>26</v>
      </c>
    </row>
    <row r="43" spans="1:29" x14ac:dyDescent="0.2">
      <c r="A43" s="13" t="s">
        <v>139</v>
      </c>
      <c r="B43" s="14" t="s">
        <v>140</v>
      </c>
      <c r="C43" s="14"/>
      <c r="D43" s="139"/>
      <c r="F43" s="13" t="s">
        <v>141</v>
      </c>
      <c r="G43" s="13" t="s">
        <v>142</v>
      </c>
      <c r="H43" s="13" t="s">
        <v>143</v>
      </c>
      <c r="I43" s="12"/>
      <c r="J43" s="13" t="s">
        <v>144</v>
      </c>
      <c r="K43" s="13" t="s">
        <v>145</v>
      </c>
      <c r="L43" s="13" t="s">
        <v>146</v>
      </c>
      <c r="M43" s="15"/>
      <c r="N43" s="15"/>
      <c r="O43" s="15"/>
      <c r="P43" s="15"/>
      <c r="Q43" s="15"/>
      <c r="R43" s="15"/>
      <c r="S43" s="13" t="s">
        <v>106</v>
      </c>
      <c r="T43" s="13" t="s">
        <v>36</v>
      </c>
      <c r="U43" s="139" t="s">
        <v>38</v>
      </c>
      <c r="V43" s="13" t="s">
        <v>107</v>
      </c>
      <c r="W43" s="13" t="s">
        <v>108</v>
      </c>
      <c r="X43" s="13" t="s">
        <v>109</v>
      </c>
      <c r="Y43" s="139" t="s">
        <v>44</v>
      </c>
      <c r="Z43" s="139" t="s">
        <v>46</v>
      </c>
      <c r="AA43" s="139" t="s">
        <v>48</v>
      </c>
      <c r="AB43" s="66" t="s">
        <v>110</v>
      </c>
    </row>
    <row r="44" spans="1:29" x14ac:dyDescent="0.2">
      <c r="A44" s="1"/>
      <c r="B44" s="34">
        <v>-1</v>
      </c>
      <c r="C44" s="34"/>
      <c r="D44" s="12"/>
      <c r="F44" s="12"/>
      <c r="G44" s="12"/>
      <c r="H44" s="19" t="e">
        <f>IF(ISBLANK(B45),0,+#REF!/B45)</f>
        <v>#REF!</v>
      </c>
      <c r="I44" s="12"/>
      <c r="J44" s="12"/>
      <c r="K44" s="12"/>
      <c r="L44" s="12"/>
      <c r="S44" s="50">
        <v>0</v>
      </c>
      <c r="T44" s="12"/>
      <c r="U44" s="12"/>
      <c r="V44" s="12"/>
      <c r="W44" s="12"/>
      <c r="X44" s="12"/>
      <c r="Y44" s="12"/>
      <c r="Z44" s="12"/>
      <c r="AA44" s="12"/>
    </row>
    <row r="45" spans="1:29" x14ac:dyDescent="0.2">
      <c r="B45" s="103">
        <f>IF(AND('AES Indiana Bill Calc.'!$D$17="RS",'AES Indiana Bill Calc.'!$D$18="No"),'AES Indiana Bill Calc.'!$D$19,-1)</f>
        <v>-1</v>
      </c>
      <c r="C45" s="91" t="s">
        <v>147</v>
      </c>
      <c r="F45" s="36" t="s">
        <v>12</v>
      </c>
      <c r="G45" s="17">
        <f>SUM(J45:M45,O45:P45,R45:AA45)</f>
        <v>12.37</v>
      </c>
      <c r="I45" s="86"/>
      <c r="J45" s="16">
        <f>IF(ISBLANK(B45),0,IF(B45&gt;J$41,+J$40,+F$40))</f>
        <v>12.5</v>
      </c>
      <c r="K45" s="16">
        <f>IF($B45&gt;K$41,ROUND(K$41*K$40,2),ROUND($B45*K$40,2))</f>
        <v>-0.13</v>
      </c>
      <c r="L45" s="16">
        <f>IF($B45&gt;K$41,ROUND(($B45-K$41)*L$40,2),0)</f>
        <v>0</v>
      </c>
      <c r="M45" s="17"/>
      <c r="N45" s="17">
        <f>SUM(K45:L45)</f>
        <v>-0.13</v>
      </c>
      <c r="O45" s="17"/>
      <c r="P45" s="17"/>
      <c r="Q45" s="17"/>
      <c r="S45" s="17">
        <f>ROUND($B45*S$40*S44,2)</f>
        <v>0</v>
      </c>
      <c r="T45" s="17">
        <f t="shared" ref="T45:AA45" si="1">ROUND($B45*T$40,2)</f>
        <v>0</v>
      </c>
      <c r="U45" s="17">
        <f t="shared" si="1"/>
        <v>0</v>
      </c>
      <c r="V45" s="17">
        <f t="shared" si="1"/>
        <v>0</v>
      </c>
      <c r="W45" s="17">
        <f t="shared" si="1"/>
        <v>0</v>
      </c>
      <c r="X45" s="17">
        <f t="shared" si="1"/>
        <v>0</v>
      </c>
      <c r="Y45" s="17">
        <f t="shared" si="1"/>
        <v>0</v>
      </c>
      <c r="Z45" s="17">
        <f t="shared" si="1"/>
        <v>0</v>
      </c>
      <c r="AA45" s="17">
        <f t="shared" si="1"/>
        <v>0</v>
      </c>
      <c r="AB45" s="19">
        <f>SUM(U40:AA40)+S40*S44</f>
        <v>7.4910000000000011E-3</v>
      </c>
      <c r="AC45" s="67" t="str">
        <f>+F45</f>
        <v>RS</v>
      </c>
    </row>
    <row r="46" spans="1:29" x14ac:dyDescent="0.2">
      <c r="A46" s="1"/>
      <c r="B46" s="103">
        <v>-1</v>
      </c>
      <c r="F46" s="36"/>
      <c r="G46" s="17"/>
      <c r="H46" s="19"/>
      <c r="I46" s="19"/>
      <c r="J46" s="16"/>
      <c r="K46" s="16"/>
      <c r="L46" s="16"/>
      <c r="M46" s="17"/>
      <c r="N46" s="17"/>
      <c r="O46" s="17"/>
      <c r="P46" s="17"/>
      <c r="Q46" s="17"/>
      <c r="S46" s="50">
        <v>1</v>
      </c>
      <c r="T46" s="17"/>
      <c r="U46" s="17"/>
      <c r="V46" s="17"/>
      <c r="W46" s="17"/>
      <c r="X46" s="17"/>
      <c r="Y46" s="17"/>
      <c r="Z46" s="17"/>
      <c r="AA46" s="17"/>
    </row>
    <row r="47" spans="1:29" x14ac:dyDescent="0.2">
      <c r="A47" s="147"/>
      <c r="B47" s="103">
        <f>IF(AND('AES Indiana Bill Calc.'!$D$17="RS",'AES Indiana Bill Calc.'!$D$18="Yes 100%"),'AES Indiana Bill Calc.'!$D$19,-1)</f>
        <v>-1</v>
      </c>
      <c r="C47" s="1" t="s">
        <v>148</v>
      </c>
      <c r="F47" s="36" t="s">
        <v>12</v>
      </c>
      <c r="G47" s="17">
        <f>SUM(J47:M47,O47:P47,R47:AA47)</f>
        <v>12.37</v>
      </c>
      <c r="H47" s="19" t="e">
        <f>IF(ISBLANK(B47),0,+#REF!/B47)</f>
        <v>#REF!</v>
      </c>
      <c r="I47" s="19"/>
      <c r="J47" s="16">
        <f>IF(ISBLANK(B47),0,IF(B47&gt;J$41,+J$40,+F$40))</f>
        <v>12.5</v>
      </c>
      <c r="K47" s="110">
        <f>IF($B47&gt;K$41,ROUND(K$41*K$40,2),ROUND($B47*K$40,2))</f>
        <v>-0.13</v>
      </c>
      <c r="L47" s="16">
        <f>IF($B47&gt;K$41,ROUND(($B47-K$41)*L$40,2),0)</f>
        <v>0</v>
      </c>
      <c r="M47" s="17"/>
      <c r="N47" s="17">
        <f>SUM(K47:L47)</f>
        <v>-0.13</v>
      </c>
      <c r="O47" s="17"/>
      <c r="P47" s="17"/>
      <c r="Q47" s="17"/>
      <c r="S47" s="17">
        <f>ROUND($B47*S$40*S46,2)</f>
        <v>0</v>
      </c>
      <c r="T47" s="17">
        <f t="shared" ref="T47:AA47" si="2">ROUND($B47*T$40,2)</f>
        <v>0</v>
      </c>
      <c r="U47" s="17">
        <f t="shared" si="2"/>
        <v>0</v>
      </c>
      <c r="V47" s="17">
        <f t="shared" si="2"/>
        <v>0</v>
      </c>
      <c r="W47" s="17">
        <f t="shared" si="2"/>
        <v>0</v>
      </c>
      <c r="X47" s="17">
        <f t="shared" si="2"/>
        <v>0</v>
      </c>
      <c r="Y47" s="17">
        <f t="shared" si="2"/>
        <v>0</v>
      </c>
      <c r="Z47" s="17">
        <f t="shared" si="2"/>
        <v>0</v>
      </c>
      <c r="AA47" s="17">
        <f t="shared" si="2"/>
        <v>0</v>
      </c>
      <c r="AB47" s="19">
        <f>SUM(U40:AA40)+S40*S46</f>
        <v>1.0491E-2</v>
      </c>
      <c r="AC47" s="67" t="str">
        <f>+F47</f>
        <v>RS</v>
      </c>
    </row>
    <row r="48" spans="1:29" x14ac:dyDescent="0.2">
      <c r="A48" s="1"/>
      <c r="B48" s="103">
        <v>-1</v>
      </c>
      <c r="F48" s="36"/>
      <c r="G48" s="17"/>
      <c r="H48" s="19"/>
      <c r="I48" s="19"/>
      <c r="J48" s="16"/>
      <c r="K48" s="16"/>
      <c r="L48" s="16"/>
      <c r="M48" s="17"/>
      <c r="N48" s="17"/>
      <c r="O48" s="17"/>
      <c r="P48" s="17"/>
      <c r="Q48" s="17"/>
      <c r="S48" s="50">
        <v>0.5</v>
      </c>
      <c r="T48" s="17"/>
      <c r="U48" s="17"/>
      <c r="V48" s="17"/>
      <c r="W48" s="17"/>
      <c r="X48" s="17"/>
      <c r="Y48" s="17"/>
      <c r="Z48" s="17"/>
      <c r="AA48" s="17"/>
    </row>
    <row r="49" spans="1:29" x14ac:dyDescent="0.2">
      <c r="A49" s="147"/>
      <c r="B49" s="103">
        <f>IF(AND('AES Indiana Bill Calc.'!$D$17="RS",'AES Indiana Bill Calc.'!$D$18="Yes 50%"),'AES Indiana Bill Calc.'!$D$19,-1)</f>
        <v>-1</v>
      </c>
      <c r="C49" s="1" t="s">
        <v>149</v>
      </c>
      <c r="F49" s="36" t="s">
        <v>12</v>
      </c>
      <c r="G49" s="17">
        <f>SUM(J49:M49,O49:P49,R49:AA49)</f>
        <v>12.37</v>
      </c>
      <c r="H49" s="19" t="e">
        <f>IF(ISBLANK(B49),0,+#REF!/B49)</f>
        <v>#REF!</v>
      </c>
      <c r="I49" s="19"/>
      <c r="J49" s="16">
        <f>IF(ISBLANK(B49),0,IF(B49&gt;J$41,+J$40,+F$40))</f>
        <v>12.5</v>
      </c>
      <c r="K49" s="110">
        <f>IF($B49&gt;K$41,ROUND(K$41*K$40,2),ROUND($B49*K$40,2))</f>
        <v>-0.13</v>
      </c>
      <c r="L49" s="16">
        <f>IF($B49&gt;K$41,ROUND(($B49-K$41)*L$40,2),0)</f>
        <v>0</v>
      </c>
      <c r="M49" s="17"/>
      <c r="N49" s="17">
        <f>SUM(K49:L49)</f>
        <v>-0.13</v>
      </c>
      <c r="O49" s="17"/>
      <c r="P49" s="17"/>
      <c r="Q49" s="17"/>
      <c r="S49" s="17">
        <f>ROUND($B49*S$40*S48,2)</f>
        <v>0</v>
      </c>
      <c r="T49" s="17">
        <f t="shared" ref="T49:AA49" si="3">ROUND($B49*T$40,2)</f>
        <v>0</v>
      </c>
      <c r="U49" s="17">
        <f t="shared" si="3"/>
        <v>0</v>
      </c>
      <c r="V49" s="17">
        <f t="shared" si="3"/>
        <v>0</v>
      </c>
      <c r="W49" s="17">
        <f t="shared" si="3"/>
        <v>0</v>
      </c>
      <c r="X49" s="17">
        <f t="shared" si="3"/>
        <v>0</v>
      </c>
      <c r="Y49" s="17">
        <f t="shared" si="3"/>
        <v>0</v>
      </c>
      <c r="Z49" s="17">
        <f t="shared" si="3"/>
        <v>0</v>
      </c>
      <c r="AA49" s="17">
        <f t="shared" si="3"/>
        <v>0</v>
      </c>
      <c r="AB49" s="19">
        <f>SUM(U42:AA42)+S42*S48</f>
        <v>143.5</v>
      </c>
      <c r="AC49" s="67" t="str">
        <f>+F49</f>
        <v>RS</v>
      </c>
    </row>
    <row r="50" spans="1:29" x14ac:dyDescent="0.2">
      <c r="A50" s="1"/>
      <c r="B50" s="103">
        <v>-1</v>
      </c>
      <c r="F50" s="36"/>
      <c r="G50" s="17"/>
      <c r="H50" s="19"/>
      <c r="I50" s="19"/>
      <c r="J50" s="16"/>
      <c r="K50" s="16"/>
      <c r="L50" s="16"/>
      <c r="M50" s="17"/>
      <c r="N50" s="17"/>
      <c r="O50" s="17"/>
      <c r="P50" s="17"/>
      <c r="Q50" s="17"/>
      <c r="S50" s="50">
        <v>0.25</v>
      </c>
      <c r="T50" s="17"/>
      <c r="U50" s="17"/>
      <c r="V50" s="17"/>
      <c r="W50" s="17"/>
      <c r="X50" s="17"/>
      <c r="Y50" s="17"/>
      <c r="Z50" s="17"/>
      <c r="AA50" s="17"/>
    </row>
    <row r="51" spans="1:29" x14ac:dyDescent="0.2">
      <c r="A51" s="147"/>
      <c r="B51" s="103">
        <f>IF(AND('AES Indiana Bill Calc.'!$D$17="RS",'AES Indiana Bill Calc.'!$D$18="Yes 25%"),'AES Indiana Bill Calc.'!$D$19,-1)</f>
        <v>-1</v>
      </c>
      <c r="C51" s="1" t="s">
        <v>150</v>
      </c>
      <c r="F51" s="36" t="s">
        <v>12</v>
      </c>
      <c r="G51" s="17">
        <f>SUM(J51:M51,O51:P51,R51:AA51)</f>
        <v>12.37</v>
      </c>
      <c r="H51" s="19" t="e">
        <f>IF(ISBLANK(B51),0,+#REF!/B51)</f>
        <v>#REF!</v>
      </c>
      <c r="I51" s="19"/>
      <c r="J51" s="16">
        <f>IF(ISBLANK(B51),0,IF(B51&gt;J$41,+J$40,+F$40))</f>
        <v>12.5</v>
      </c>
      <c r="K51" s="110">
        <f>IF($B51&gt;K$41,ROUND(K$41*K$40,2),ROUND($B51*K$40,2))</f>
        <v>-0.13</v>
      </c>
      <c r="L51" s="16">
        <f>IF($B51&gt;K$41,ROUND(($B51-K$41)*L$40,2),0)</f>
        <v>0</v>
      </c>
      <c r="M51" s="17"/>
      <c r="N51" s="17">
        <f>SUM(K51:L51)</f>
        <v>-0.13</v>
      </c>
      <c r="O51" s="17"/>
      <c r="P51" s="17"/>
      <c r="Q51" s="17"/>
      <c r="S51" s="17">
        <f>ROUND($B51*S$40*S50,2)</f>
        <v>0</v>
      </c>
      <c r="T51" s="17">
        <f t="shared" ref="T51:AA51" si="4">ROUND($B51*T$40,2)</f>
        <v>0</v>
      </c>
      <c r="U51" s="17">
        <f t="shared" si="4"/>
        <v>0</v>
      </c>
      <c r="V51" s="17">
        <f t="shared" si="4"/>
        <v>0</v>
      </c>
      <c r="W51" s="17">
        <f t="shared" si="4"/>
        <v>0</v>
      </c>
      <c r="X51" s="17">
        <f t="shared" si="4"/>
        <v>0</v>
      </c>
      <c r="Y51" s="17">
        <f t="shared" si="4"/>
        <v>0</v>
      </c>
      <c r="Z51" s="17">
        <f t="shared" si="4"/>
        <v>0</v>
      </c>
      <c r="AA51" s="17">
        <f t="shared" si="4"/>
        <v>0</v>
      </c>
      <c r="AB51" s="19">
        <f>SUM(U44:AA44)+S44*S50</f>
        <v>0</v>
      </c>
      <c r="AC51" s="67" t="str">
        <f>+F51</f>
        <v>RS</v>
      </c>
    </row>
    <row r="52" spans="1:29" x14ac:dyDescent="0.2">
      <c r="B52" s="103">
        <v>-1</v>
      </c>
      <c r="C52" s="78"/>
      <c r="G52" s="17"/>
      <c r="H52" s="19"/>
      <c r="I52" s="19"/>
      <c r="J52" s="16"/>
      <c r="K52" s="16"/>
      <c r="L52" s="16"/>
      <c r="M52" s="17"/>
      <c r="N52" s="17"/>
      <c r="O52" s="17"/>
      <c r="P52" s="17"/>
      <c r="Q52" s="17"/>
      <c r="R52" s="17"/>
      <c r="S52" s="17"/>
      <c r="T52" s="17"/>
      <c r="U52" s="17"/>
      <c r="V52" s="17"/>
      <c r="W52" s="17"/>
      <c r="X52" s="17"/>
      <c r="Y52" s="17"/>
      <c r="Z52" s="17"/>
      <c r="AA52" s="17"/>
    </row>
    <row r="53" spans="1:29" ht="13.5" thickBot="1" x14ac:dyDescent="0.25">
      <c r="A53" s="21"/>
      <c r="B53" s="106">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
      <c r="B54" s="103">
        <v>-1</v>
      </c>
      <c r="C54" s="40"/>
      <c r="G54" s="42"/>
      <c r="H54" s="19"/>
      <c r="I54" s="19"/>
      <c r="J54" s="82"/>
      <c r="K54" s="82"/>
      <c r="L54" s="82"/>
      <c r="M54" s="42"/>
      <c r="N54" s="42"/>
      <c r="O54" s="42"/>
      <c r="P54" s="42"/>
      <c r="Q54" s="42"/>
      <c r="R54" s="42"/>
      <c r="S54" s="42"/>
      <c r="T54" s="42"/>
      <c r="U54" s="42"/>
      <c r="V54" s="42"/>
      <c r="W54" s="42"/>
      <c r="X54" s="42"/>
      <c r="Y54" s="42"/>
      <c r="Z54" s="42"/>
      <c r="AA54" s="42"/>
    </row>
    <row r="55" spans="1:29" x14ac:dyDescent="0.2">
      <c r="B55" s="103"/>
      <c r="C55" s="7"/>
      <c r="H55" s="19"/>
      <c r="I55" s="19"/>
      <c r="J55" s="16"/>
      <c r="K55" s="16"/>
      <c r="L55" s="16"/>
      <c r="M55" s="17"/>
      <c r="N55" s="17"/>
      <c r="O55" s="17"/>
      <c r="P55" s="17"/>
      <c r="Q55" s="17"/>
      <c r="R55" s="7"/>
      <c r="S55" s="6"/>
      <c r="T55" s="6"/>
      <c r="U55" s="6"/>
      <c r="V55" s="6"/>
      <c r="W55" s="6"/>
      <c r="X55" s="6"/>
      <c r="Y55" s="6"/>
      <c r="Z55" s="6"/>
      <c r="AA55" s="6"/>
    </row>
    <row r="56" spans="1:29" x14ac:dyDescent="0.2">
      <c r="B56" s="103"/>
      <c r="C56" s="26"/>
      <c r="F56" s="72">
        <v>12.5</v>
      </c>
      <c r="G56" s="72">
        <f t="shared" ref="G56:I56" si="5">G70</f>
        <v>0</v>
      </c>
      <c r="H56" s="72">
        <f t="shared" si="5"/>
        <v>0</v>
      </c>
      <c r="I56" s="72">
        <f t="shared" si="5"/>
        <v>0</v>
      </c>
      <c r="J56" s="161">
        <v>17</v>
      </c>
      <c r="K56" s="162">
        <v>0.125421</v>
      </c>
      <c r="L56" s="162">
        <v>0.11382200000000001</v>
      </c>
      <c r="M56" s="162">
        <v>0.101408</v>
      </c>
      <c r="N56" s="71"/>
      <c r="O56" s="71"/>
      <c r="P56" s="71"/>
      <c r="Q56" s="71"/>
      <c r="S56" s="27">
        <f>+M$3</f>
        <v>3.0000000000000001E-3</v>
      </c>
      <c r="T56" s="27">
        <f t="shared" ref="T56:AA56" si="6">+R$3</f>
        <v>-3.4320000000000002E-3</v>
      </c>
      <c r="U56" s="27">
        <f t="shared" si="6"/>
        <v>1.8929999999999999E-3</v>
      </c>
      <c r="V56" s="27">
        <f t="shared" si="6"/>
        <v>3.5249999999999999E-3</v>
      </c>
      <c r="W56" s="27">
        <f t="shared" si="6"/>
        <v>0</v>
      </c>
      <c r="X56" s="27">
        <f t="shared" si="6"/>
        <v>3.375E-3</v>
      </c>
      <c r="Y56" s="27">
        <f t="shared" si="6"/>
        <v>-1.379E-3</v>
      </c>
      <c r="Z56" s="27">
        <f t="shared" si="6"/>
        <v>5.5400000000000002E-4</v>
      </c>
      <c r="AA56" s="27">
        <f t="shared" si="6"/>
        <v>-4.7699999999999999E-4</v>
      </c>
      <c r="AB56" s="19">
        <f>SUM(U56:Z56)</f>
        <v>7.9680000000000011E-3</v>
      </c>
    </row>
    <row r="57" spans="1:29" x14ac:dyDescent="0.2">
      <c r="A57" s="11"/>
      <c r="B57" s="103"/>
      <c r="F57" s="72"/>
      <c r="G57" s="70"/>
      <c r="H57" s="70"/>
      <c r="I57" s="70"/>
      <c r="J57" s="73">
        <v>325</v>
      </c>
      <c r="K57" s="73">
        <v>500</v>
      </c>
      <c r="L57" s="73">
        <v>500</v>
      </c>
      <c r="M57" s="73">
        <v>1000</v>
      </c>
      <c r="N57" s="73"/>
      <c r="O57" s="73"/>
      <c r="P57" s="73"/>
      <c r="Q57" s="73"/>
      <c r="S57" s="27"/>
      <c r="T57" s="27"/>
      <c r="U57" s="27"/>
      <c r="V57" s="27"/>
      <c r="W57" s="27"/>
      <c r="X57" s="27"/>
      <c r="Y57" s="27"/>
      <c r="Z57" s="27"/>
      <c r="AA57" s="27"/>
    </row>
    <row r="58" spans="1:29" x14ac:dyDescent="0.2">
      <c r="B58" s="103">
        <v>-1</v>
      </c>
      <c r="C58" s="11"/>
      <c r="D58" s="12"/>
      <c r="F58" s="12"/>
      <c r="J58" s="12" t="s">
        <v>137</v>
      </c>
      <c r="K58" s="204" t="s">
        <v>28</v>
      </c>
      <c r="L58" s="204"/>
      <c r="M58" s="204"/>
      <c r="N58" s="12"/>
      <c r="O58" s="12"/>
      <c r="P58" s="12"/>
      <c r="Q58" s="12"/>
      <c r="R58" s="12"/>
      <c r="S58" s="12">
        <v>21</v>
      </c>
      <c r="T58" s="12">
        <v>6</v>
      </c>
      <c r="U58" s="12">
        <v>3</v>
      </c>
      <c r="V58" s="12">
        <v>22</v>
      </c>
      <c r="W58" s="12">
        <v>13</v>
      </c>
      <c r="X58" s="12">
        <v>20</v>
      </c>
      <c r="Y58" s="12">
        <v>24</v>
      </c>
      <c r="Z58" s="12">
        <v>25</v>
      </c>
      <c r="AA58" s="12">
        <v>26</v>
      </c>
    </row>
    <row r="59" spans="1:29" x14ac:dyDescent="0.2">
      <c r="A59" s="13"/>
      <c r="B59" s="14">
        <v>-1</v>
      </c>
      <c r="C59" s="14"/>
      <c r="D59" s="13"/>
      <c r="F59" s="13" t="s">
        <v>141</v>
      </c>
      <c r="G59" s="13" t="s">
        <v>142</v>
      </c>
      <c r="H59" s="13" t="s">
        <v>143</v>
      </c>
      <c r="I59" s="12"/>
      <c r="J59" s="13" t="s">
        <v>144</v>
      </c>
      <c r="K59" s="13" t="s">
        <v>145</v>
      </c>
      <c r="L59" s="13" t="s">
        <v>151</v>
      </c>
      <c r="M59" s="13" t="s">
        <v>152</v>
      </c>
      <c r="N59" s="13"/>
      <c r="O59" s="13"/>
      <c r="P59" s="13"/>
      <c r="Q59" s="13"/>
      <c r="R59" s="15"/>
      <c r="S59" s="13" t="s">
        <v>106</v>
      </c>
      <c r="T59" s="13" t="s">
        <v>36</v>
      </c>
      <c r="U59" s="139" t="s">
        <v>38</v>
      </c>
      <c r="V59" s="13" t="s">
        <v>107</v>
      </c>
      <c r="W59" s="13" t="s">
        <v>108</v>
      </c>
      <c r="X59" s="13" t="s">
        <v>109</v>
      </c>
      <c r="Y59" s="139" t="s">
        <v>44</v>
      </c>
      <c r="Z59" s="139" t="s">
        <v>46</v>
      </c>
      <c r="AA59" s="139" t="s">
        <v>48</v>
      </c>
      <c r="AB59" s="66" t="s">
        <v>110</v>
      </c>
    </row>
    <row r="60" spans="1:29" x14ac:dyDescent="0.2">
      <c r="A60" s="1"/>
      <c r="B60" s="103">
        <v>-1</v>
      </c>
      <c r="C60" s="34"/>
      <c r="D60" s="12"/>
      <c r="F60" s="12"/>
      <c r="G60" s="12"/>
      <c r="H60" s="12"/>
      <c r="I60" s="12"/>
      <c r="J60" s="12"/>
      <c r="K60" s="12"/>
      <c r="L60" s="12"/>
      <c r="M60" s="12"/>
      <c r="N60" s="12"/>
      <c r="O60" s="12"/>
      <c r="P60" s="12"/>
      <c r="Q60" s="12"/>
      <c r="S60" s="50">
        <v>0.25</v>
      </c>
      <c r="T60" s="12"/>
      <c r="U60" s="12"/>
      <c r="V60" s="12"/>
      <c r="W60" s="12"/>
      <c r="X60" s="12"/>
      <c r="Y60" s="12"/>
      <c r="Z60" s="12"/>
      <c r="AA60" s="12"/>
    </row>
    <row r="61" spans="1:29" x14ac:dyDescent="0.2">
      <c r="B61" s="103">
        <f>IF(AND('AES Indiana Bill Calc.'!$D$17="RC",'AES Indiana Bill Calc.'!$D$18="Yes 25%"),'AES Indiana Bill Calc.'!$D$19,-1)</f>
        <v>-1</v>
      </c>
      <c r="C61" s="78" t="s">
        <v>150</v>
      </c>
      <c r="F61" s="36" t="s">
        <v>52</v>
      </c>
      <c r="G61" s="17">
        <f>SUM(J61:M61,O61:P61,R61:AA61)</f>
        <v>12.37</v>
      </c>
      <c r="H61" s="19" t="e">
        <f>IF(ISBLANK(B61),0,+#REF!/B61)</f>
        <v>#REF!</v>
      </c>
      <c r="I61" s="19"/>
      <c r="J61" s="16">
        <f>IF(ISBLANK(B61),0,IF(B61&gt;J$57,+J$56,+F$56))</f>
        <v>12.5</v>
      </c>
      <c r="K61" s="16">
        <f>IF($B61&gt;K$57,ROUND(K$57*K$56,2),ROUND($B61*K$56,2))</f>
        <v>-0.13</v>
      </c>
      <c r="L61" s="16">
        <f>IF($B61&lt;K$57,0,IF($B61&gt;SUM(K$57:L$57),ROUND(L$57*L$56,2),ROUND(($B61-K$57)*L$56,2)))</f>
        <v>0</v>
      </c>
      <c r="M61" s="16">
        <f>IF($B61&gt;M$57,ROUND(($B61-M$57)*M$56,2),0)</f>
        <v>0</v>
      </c>
      <c r="N61" s="17">
        <f>SUM(K61:M61)</f>
        <v>-0.13</v>
      </c>
      <c r="O61" s="16"/>
      <c r="P61" s="16"/>
      <c r="Q61" s="16"/>
      <c r="S61" s="17">
        <f>ROUND($B61*S$56*S60,2)</f>
        <v>0</v>
      </c>
      <c r="T61" s="17">
        <f>ROUND($B61*T$56,2)</f>
        <v>0</v>
      </c>
      <c r="U61" s="17">
        <f t="shared" ref="U61:AA67" si="7">ROUND($B61*U$56,2)</f>
        <v>0</v>
      </c>
      <c r="V61" s="17">
        <f t="shared" si="7"/>
        <v>0</v>
      </c>
      <c r="W61" s="17">
        <f t="shared" si="7"/>
        <v>0</v>
      </c>
      <c r="X61" s="17">
        <f t="shared" si="7"/>
        <v>0</v>
      </c>
      <c r="Y61" s="17">
        <f t="shared" si="7"/>
        <v>0</v>
      </c>
      <c r="Z61" s="17">
        <f t="shared" si="7"/>
        <v>0</v>
      </c>
      <c r="AA61" s="17">
        <f t="shared" si="7"/>
        <v>0</v>
      </c>
      <c r="AB61" s="19">
        <f>SUM(U56:AA56)</f>
        <v>7.4910000000000011E-3</v>
      </c>
      <c r="AC61" s="67" t="str">
        <f>+F61</f>
        <v>RC</v>
      </c>
    </row>
    <row r="62" spans="1:29" x14ac:dyDescent="0.2">
      <c r="A62" s="1"/>
      <c r="B62" s="103">
        <v>-1</v>
      </c>
      <c r="F62" s="36"/>
      <c r="G62" s="17"/>
      <c r="H62" s="19"/>
      <c r="I62" s="19"/>
      <c r="J62" s="16"/>
      <c r="K62" s="16"/>
      <c r="L62" s="16"/>
      <c r="M62" s="16"/>
      <c r="N62" s="16"/>
      <c r="O62" s="16"/>
      <c r="P62" s="16"/>
      <c r="Q62" s="16"/>
      <c r="S62" s="50">
        <v>0.5</v>
      </c>
      <c r="T62" s="17"/>
      <c r="U62" s="17"/>
      <c r="V62" s="17"/>
      <c r="W62" s="17"/>
      <c r="X62" s="17"/>
      <c r="Y62" s="17"/>
      <c r="Z62" s="17"/>
      <c r="AA62" s="17"/>
    </row>
    <row r="63" spans="1:29" x14ac:dyDescent="0.2">
      <c r="B63" s="103">
        <f>IF(AND('AES Indiana Bill Calc.'!$D$17="RC",'AES Indiana Bill Calc.'!$D$18="Yes 50%"),'AES Indiana Bill Calc.'!$D$19,-1)</f>
        <v>-1</v>
      </c>
      <c r="C63" s="1" t="s">
        <v>153</v>
      </c>
      <c r="F63" s="36" t="s">
        <v>52</v>
      </c>
      <c r="G63" s="17">
        <f>SUM(J63:M63,O63:P63,R63:AA63)</f>
        <v>12.37</v>
      </c>
      <c r="H63" s="19" t="e">
        <f>IF(ISBLANK(B63),0,+#REF!/B63)</f>
        <v>#REF!</v>
      </c>
      <c r="J63" s="16">
        <f>IF(ISBLANK(B63),0,IF(B63&gt;J$57,+J$56,+F$56))</f>
        <v>12.5</v>
      </c>
      <c r="K63" s="16">
        <f>IF($B63&gt;K$57,ROUND(K$57*K$56,2),ROUND($B63*K$56,2))</f>
        <v>-0.13</v>
      </c>
      <c r="L63" s="16">
        <f>IF($B63&lt;K$57,0,IF($B63&gt;SUM(K$57:L$57),ROUND(L$57*L$56,2),ROUND(($B63-K$57)*L$56,2)))</f>
        <v>0</v>
      </c>
      <c r="M63" s="16">
        <f>IF($B63&gt;M$57,ROUND(($B63-M$57)*M$56,2),0)</f>
        <v>0</v>
      </c>
      <c r="N63" s="17">
        <f>SUM(K63:M63)</f>
        <v>-0.13</v>
      </c>
      <c r="O63" s="16"/>
      <c r="P63" s="16"/>
      <c r="Q63" s="16"/>
      <c r="S63" s="17">
        <f>ROUND($B63*S$56*S62,2)</f>
        <v>0</v>
      </c>
      <c r="T63" s="17">
        <f>ROUND($B63*T$56,2)</f>
        <v>0</v>
      </c>
      <c r="U63" s="17">
        <f t="shared" si="7"/>
        <v>0</v>
      </c>
      <c r="V63" s="17">
        <f t="shared" si="7"/>
        <v>0</v>
      </c>
      <c r="W63" s="17">
        <f t="shared" si="7"/>
        <v>0</v>
      </c>
      <c r="X63" s="17">
        <f t="shared" si="7"/>
        <v>0</v>
      </c>
      <c r="Y63" s="17">
        <f t="shared" si="7"/>
        <v>0</v>
      </c>
      <c r="Z63" s="17">
        <f t="shared" si="7"/>
        <v>0</v>
      </c>
      <c r="AA63" s="17">
        <f t="shared" si="7"/>
        <v>0</v>
      </c>
      <c r="AB63" s="19">
        <f>SUM(U56:AA56)+S56*S62</f>
        <v>8.9910000000000007E-3</v>
      </c>
      <c r="AC63" s="67" t="str">
        <f>+F63</f>
        <v>RC</v>
      </c>
    </row>
    <row r="64" spans="1:29" x14ac:dyDescent="0.2">
      <c r="A64" s="1"/>
      <c r="B64" s="103">
        <v>-1</v>
      </c>
      <c r="F64" s="36"/>
      <c r="G64" s="17"/>
      <c r="H64" s="19"/>
      <c r="I64" s="19"/>
      <c r="J64" s="16"/>
      <c r="K64" s="16"/>
      <c r="L64" s="16"/>
      <c r="M64" s="16"/>
      <c r="N64" s="16"/>
      <c r="O64" s="16"/>
      <c r="P64" s="16"/>
      <c r="Q64" s="16"/>
      <c r="S64" s="50">
        <v>0</v>
      </c>
      <c r="T64" s="17"/>
      <c r="U64" s="17"/>
      <c r="V64" s="17"/>
      <c r="W64" s="17"/>
      <c r="X64" s="17"/>
      <c r="Y64" s="17"/>
      <c r="Z64" s="17"/>
      <c r="AA64" s="17"/>
    </row>
    <row r="65" spans="1:29" x14ac:dyDescent="0.2">
      <c r="B65" s="103">
        <f>IF(AND('AES Indiana Bill Calc.'!$D$17="RC",'AES Indiana Bill Calc.'!$D$18="No"),'AES Indiana Bill Calc.'!$D$19,-1)</f>
        <v>-1</v>
      </c>
      <c r="C65" s="1" t="s">
        <v>147</v>
      </c>
      <c r="F65" s="36" t="s">
        <v>52</v>
      </c>
      <c r="G65" s="17">
        <f>SUM(J65:M65,O65:P65,R65:AA65)</f>
        <v>12.37</v>
      </c>
      <c r="H65" s="19" t="e">
        <f>IF(ISBLANK(B65),0,+#REF!/B65)</f>
        <v>#REF!</v>
      </c>
      <c r="J65" s="16">
        <f>IF(ISBLANK(B65),0,IF(B65&gt;J$57,+J$56,+F$56))</f>
        <v>12.5</v>
      </c>
      <c r="K65" s="16">
        <f>IF($B65&gt;K$57,ROUND(K$57*K$56,2),ROUND($B65*K$56,2))</f>
        <v>-0.13</v>
      </c>
      <c r="L65" s="16">
        <f>IF($B65&lt;K$57,0,IF($B65&gt;SUM(K$57:L$57),ROUND(L$57*L$56,2),ROUND(($B65-K$57)*L$56,2)))</f>
        <v>0</v>
      </c>
      <c r="M65" s="16">
        <f>IF($B65&gt;M$57,ROUND(($B65-M$57)*M$56,2),0)</f>
        <v>0</v>
      </c>
      <c r="N65" s="17">
        <f>SUM(K65:M65)</f>
        <v>-0.13</v>
      </c>
      <c r="O65" s="16"/>
      <c r="P65" s="16"/>
      <c r="Q65" s="16"/>
      <c r="S65" s="17">
        <f>ROUND($B65*S$56*S64,2)</f>
        <v>0</v>
      </c>
      <c r="T65" s="17">
        <f>ROUND($B65*T$56,2)</f>
        <v>0</v>
      </c>
      <c r="U65" s="17">
        <f t="shared" si="7"/>
        <v>0</v>
      </c>
      <c r="V65" s="17">
        <f t="shared" si="7"/>
        <v>0</v>
      </c>
      <c r="W65" s="17">
        <f t="shared" si="7"/>
        <v>0</v>
      </c>
      <c r="X65" s="17">
        <f t="shared" si="7"/>
        <v>0</v>
      </c>
      <c r="Y65" s="17">
        <f t="shared" si="7"/>
        <v>0</v>
      </c>
      <c r="Z65" s="17">
        <f t="shared" si="7"/>
        <v>0</v>
      </c>
      <c r="AA65" s="17">
        <f t="shared" si="7"/>
        <v>0</v>
      </c>
      <c r="AB65" s="19">
        <f>SUM(U58:AA58)+S58*S64</f>
        <v>133</v>
      </c>
      <c r="AC65" s="67" t="str">
        <f>+F65</f>
        <v>RC</v>
      </c>
    </row>
    <row r="66" spans="1:29" x14ac:dyDescent="0.2">
      <c r="A66" s="1"/>
      <c r="B66" s="103">
        <v>-1</v>
      </c>
      <c r="F66" s="36"/>
      <c r="G66" s="17"/>
      <c r="H66" s="19"/>
      <c r="I66" s="19"/>
      <c r="J66" s="16"/>
      <c r="K66" s="16"/>
      <c r="L66" s="16"/>
      <c r="M66" s="16"/>
      <c r="N66" s="16"/>
      <c r="O66" s="16"/>
      <c r="P66" s="16"/>
      <c r="Q66" s="16"/>
      <c r="S66" s="50">
        <v>1</v>
      </c>
      <c r="T66" s="17"/>
      <c r="U66" s="17"/>
      <c r="V66" s="17"/>
      <c r="W66" s="17"/>
      <c r="X66" s="17"/>
      <c r="Y66" s="17"/>
      <c r="Z66" s="17"/>
      <c r="AA66" s="17"/>
    </row>
    <row r="67" spans="1:29" x14ac:dyDescent="0.2">
      <c r="B67" s="103">
        <f>IF(AND('AES Indiana Bill Calc.'!$D$17="RC",'AES Indiana Bill Calc.'!$D$18="Yes 100%"),'AES Indiana Bill Calc.'!$D$19,-1)</f>
        <v>-1</v>
      </c>
      <c r="C67" s="1" t="s">
        <v>148</v>
      </c>
      <c r="F67" s="36" t="s">
        <v>52</v>
      </c>
      <c r="G67" s="17">
        <f>SUM(J67:M67,O67:P67,R67:AA67)</f>
        <v>12.37</v>
      </c>
      <c r="H67" s="19" t="e">
        <f>IF(ISBLANK(B67),0,+#REF!/B67)</f>
        <v>#REF!</v>
      </c>
      <c r="J67" s="16">
        <f>IF(ISBLANK(B67),0,IF(B67&gt;J$57,+J$56,+F$56))</f>
        <v>12.5</v>
      </c>
      <c r="K67" s="16">
        <f>IF($B67&gt;K$57,ROUND(K$57*K$56,2),ROUND($B67*K$56,2))</f>
        <v>-0.13</v>
      </c>
      <c r="L67" s="16">
        <f>IF($B67&lt;K$57,0,IF($B67&gt;SUM(K$57:L$57),ROUND(L$57*L$56,2),ROUND(($B67-K$57)*L$56,2)))</f>
        <v>0</v>
      </c>
      <c r="M67" s="16">
        <f>IF($B67&gt;M$57,ROUND(($B67-M$57)*M$56,2),0)</f>
        <v>0</v>
      </c>
      <c r="N67" s="17">
        <f>SUM(K67:M67)</f>
        <v>-0.13</v>
      </c>
      <c r="O67" s="16"/>
      <c r="P67" s="16"/>
      <c r="Q67" s="16"/>
      <c r="S67" s="17">
        <f>ROUND($B67*S$56*S66,2)</f>
        <v>0</v>
      </c>
      <c r="T67" s="17">
        <f>ROUND($B67*T$56,2)</f>
        <v>0</v>
      </c>
      <c r="U67" s="17">
        <f t="shared" si="7"/>
        <v>0</v>
      </c>
      <c r="V67" s="17">
        <f t="shared" si="7"/>
        <v>0</v>
      </c>
      <c r="W67" s="17">
        <f t="shared" si="7"/>
        <v>0</v>
      </c>
      <c r="X67" s="17">
        <f t="shared" si="7"/>
        <v>0</v>
      </c>
      <c r="Y67" s="17">
        <f t="shared" si="7"/>
        <v>0</v>
      </c>
      <c r="Z67" s="17">
        <f t="shared" si="7"/>
        <v>0</v>
      </c>
      <c r="AA67" s="17">
        <f t="shared" si="7"/>
        <v>0</v>
      </c>
      <c r="AB67" s="19">
        <f>SUM(U60:AA60)+S60*S66</f>
        <v>0.25</v>
      </c>
      <c r="AC67" s="67" t="str">
        <f>+F67</f>
        <v>RC</v>
      </c>
    </row>
    <row r="68" spans="1:29" x14ac:dyDescent="0.2">
      <c r="B68" s="103">
        <v>-1</v>
      </c>
      <c r="G68" s="17"/>
      <c r="H68" s="19"/>
      <c r="I68" s="19"/>
      <c r="J68" s="8"/>
      <c r="K68" s="16"/>
      <c r="L68" s="16"/>
      <c r="M68" s="17"/>
      <c r="N68" s="17"/>
      <c r="O68" s="17"/>
      <c r="P68" s="17"/>
      <c r="Q68" s="17"/>
      <c r="R68" s="17"/>
      <c r="S68" s="17"/>
      <c r="T68" s="17"/>
      <c r="U68" s="17"/>
      <c r="V68" s="17"/>
      <c r="W68" s="17"/>
      <c r="X68" s="17"/>
      <c r="Y68" s="17"/>
      <c r="Z68" s="17"/>
      <c r="AA68" s="17"/>
    </row>
    <row r="69" spans="1:29" x14ac:dyDescent="0.2">
      <c r="B69" s="103">
        <v>-1</v>
      </c>
      <c r="C69" s="4"/>
      <c r="H69" s="19"/>
      <c r="I69" s="19"/>
      <c r="J69" s="8"/>
      <c r="K69" s="16"/>
      <c r="L69" s="16"/>
      <c r="M69" s="17"/>
      <c r="N69" s="17"/>
      <c r="O69" s="17"/>
      <c r="P69" s="17"/>
      <c r="Q69" s="17"/>
      <c r="R69" s="17"/>
      <c r="S69" s="6"/>
      <c r="T69" s="6"/>
      <c r="U69" s="6"/>
      <c r="V69" s="6"/>
      <c r="W69" s="6"/>
      <c r="X69" s="6"/>
      <c r="Y69" s="6"/>
      <c r="Z69" s="6"/>
      <c r="AA69" s="6"/>
    </row>
    <row r="70" spans="1:29" x14ac:dyDescent="0.2">
      <c r="B70" s="103">
        <v>-1</v>
      </c>
      <c r="C70" s="4"/>
      <c r="F70" s="72">
        <f>F56</f>
        <v>12.5</v>
      </c>
      <c r="G70" s="72"/>
      <c r="H70" s="72"/>
      <c r="I70" s="72"/>
      <c r="J70" s="161">
        <f>J56</f>
        <v>17</v>
      </c>
      <c r="K70" s="162">
        <f>K56</f>
        <v>0.125421</v>
      </c>
      <c r="L70" s="162">
        <f>L56</f>
        <v>0.11382200000000001</v>
      </c>
      <c r="M70" s="162">
        <f>M56</f>
        <v>0.101408</v>
      </c>
      <c r="N70" s="71"/>
      <c r="O70" s="71"/>
      <c r="P70" s="71"/>
      <c r="Q70" s="71"/>
      <c r="R70" s="5"/>
      <c r="S70" s="27">
        <f>+M$3</f>
        <v>3.0000000000000001E-3</v>
      </c>
      <c r="T70" s="27">
        <f t="shared" ref="T70:AA70" si="8">+R$3</f>
        <v>-3.4320000000000002E-3</v>
      </c>
      <c r="U70" s="27">
        <f t="shared" si="8"/>
        <v>1.8929999999999999E-3</v>
      </c>
      <c r="V70" s="27">
        <f t="shared" si="8"/>
        <v>3.5249999999999999E-3</v>
      </c>
      <c r="W70" s="27">
        <f t="shared" si="8"/>
        <v>0</v>
      </c>
      <c r="X70" s="27">
        <f t="shared" si="8"/>
        <v>3.375E-3</v>
      </c>
      <c r="Y70" s="27">
        <f t="shared" si="8"/>
        <v>-1.379E-3</v>
      </c>
      <c r="Z70" s="27">
        <f t="shared" si="8"/>
        <v>5.5400000000000002E-4</v>
      </c>
      <c r="AA70" s="27">
        <f t="shared" si="8"/>
        <v>-4.7699999999999999E-4</v>
      </c>
      <c r="AB70" s="19">
        <f>SUM(U70:Z70)</f>
        <v>7.9680000000000011E-3</v>
      </c>
    </row>
    <row r="71" spans="1:29" x14ac:dyDescent="0.2">
      <c r="A71" s="11"/>
      <c r="B71" s="103">
        <v>-1</v>
      </c>
      <c r="F71" s="72"/>
      <c r="G71" s="74"/>
      <c r="H71" s="75"/>
      <c r="I71" s="75"/>
      <c r="J71" s="73">
        <v>325</v>
      </c>
      <c r="K71" s="73">
        <v>500</v>
      </c>
      <c r="L71" s="73">
        <v>500</v>
      </c>
      <c r="M71" s="73">
        <v>1000</v>
      </c>
      <c r="N71" s="73"/>
      <c r="O71" s="73"/>
      <c r="P71" s="73"/>
      <c r="Q71" s="73"/>
      <c r="R71" s="9"/>
      <c r="S71" s="17"/>
      <c r="T71" s="17"/>
      <c r="U71" s="17"/>
      <c r="V71" s="17"/>
      <c r="W71" s="17"/>
      <c r="X71" s="17"/>
      <c r="Y71" s="17"/>
      <c r="Z71" s="17"/>
      <c r="AA71" s="17"/>
    </row>
    <row r="72" spans="1:29" x14ac:dyDescent="0.2">
      <c r="B72" s="103">
        <v>-1</v>
      </c>
      <c r="C72" s="29"/>
      <c r="F72" s="12"/>
      <c r="J72" s="12" t="s">
        <v>137</v>
      </c>
      <c r="K72" s="204" t="s">
        <v>28</v>
      </c>
      <c r="L72" s="204"/>
      <c r="M72" s="204"/>
      <c r="N72" s="12"/>
      <c r="O72" s="12"/>
      <c r="P72" s="12"/>
      <c r="Q72" s="12"/>
      <c r="R72" s="12"/>
      <c r="S72" s="12">
        <v>21</v>
      </c>
      <c r="T72" s="12">
        <v>6</v>
      </c>
      <c r="U72" s="12">
        <v>3</v>
      </c>
      <c r="V72" s="12">
        <v>22</v>
      </c>
      <c r="W72" s="12">
        <v>13</v>
      </c>
      <c r="X72" s="12">
        <v>20</v>
      </c>
      <c r="Y72" s="12">
        <v>24</v>
      </c>
      <c r="Z72" s="12">
        <v>25</v>
      </c>
      <c r="AA72" s="12">
        <v>26</v>
      </c>
    </row>
    <row r="73" spans="1:29" x14ac:dyDescent="0.2">
      <c r="A73" s="13"/>
      <c r="B73" s="14">
        <v>-1</v>
      </c>
      <c r="C73" s="14"/>
      <c r="D73" s="15"/>
      <c r="F73" s="13" t="s">
        <v>141</v>
      </c>
      <c r="G73" s="13" t="s">
        <v>142</v>
      </c>
      <c r="H73" s="13" t="s">
        <v>143</v>
      </c>
      <c r="I73" s="12"/>
      <c r="J73" s="13" t="s">
        <v>144</v>
      </c>
      <c r="K73" s="13" t="s">
        <v>145</v>
      </c>
      <c r="L73" s="13" t="s">
        <v>151</v>
      </c>
      <c r="M73" s="13" t="s">
        <v>152</v>
      </c>
      <c r="N73" s="13"/>
      <c r="O73" s="13"/>
      <c r="P73" s="13"/>
      <c r="Q73" s="13"/>
      <c r="R73" s="13"/>
      <c r="S73" s="13" t="s">
        <v>106</v>
      </c>
      <c r="T73" s="13" t="s">
        <v>36</v>
      </c>
      <c r="U73" s="139" t="s">
        <v>38</v>
      </c>
      <c r="V73" s="13" t="s">
        <v>107</v>
      </c>
      <c r="W73" s="13" t="s">
        <v>108</v>
      </c>
      <c r="X73" s="13" t="s">
        <v>109</v>
      </c>
      <c r="Y73" s="139" t="s">
        <v>44</v>
      </c>
      <c r="Z73" s="139" t="s">
        <v>46</v>
      </c>
      <c r="AA73" s="139" t="s">
        <v>48</v>
      </c>
      <c r="AB73" s="66" t="s">
        <v>110</v>
      </c>
    </row>
    <row r="74" spans="1:29" x14ac:dyDescent="0.2">
      <c r="A74" s="1"/>
      <c r="B74" s="103">
        <v>-1</v>
      </c>
      <c r="C74" s="34"/>
      <c r="F74" s="12"/>
      <c r="G74" s="12"/>
      <c r="H74" s="12"/>
      <c r="I74" s="12"/>
      <c r="J74" s="12"/>
      <c r="K74" s="12"/>
      <c r="L74" s="12"/>
      <c r="M74" s="12"/>
      <c r="N74" s="12"/>
      <c r="O74" s="12"/>
      <c r="P74" s="12"/>
      <c r="Q74" s="12"/>
      <c r="R74" s="12"/>
      <c r="S74" s="50">
        <v>0</v>
      </c>
      <c r="T74" s="12"/>
      <c r="U74" s="12"/>
      <c r="V74" s="12"/>
      <c r="W74" s="12"/>
      <c r="X74" s="12"/>
      <c r="Y74" s="12"/>
      <c r="Z74" s="12"/>
      <c r="AA74" s="12"/>
    </row>
    <row r="75" spans="1:29" x14ac:dyDescent="0.2">
      <c r="B75" s="103">
        <f>IF(AND('AES Indiana Bill Calc.'!$D$17="RH",'AES Indiana Bill Calc.'!$D$18="No"),'AES Indiana Bill Calc.'!$D$19,-1)</f>
        <v>-1</v>
      </c>
      <c r="C75" s="1" t="s">
        <v>147</v>
      </c>
      <c r="F75" s="36" t="s">
        <v>53</v>
      </c>
      <c r="G75" s="17">
        <f>SUM(J75:M75,O75:P75,R75:AA75)</f>
        <v>12.37</v>
      </c>
      <c r="H75" s="19" t="e">
        <f>IF(ISBLANK(B75),0,+#REF!/B75)</f>
        <v>#REF!</v>
      </c>
      <c r="I75" s="19"/>
      <c r="J75" s="16">
        <f>IF(ISBLANK(B75),0,IF(B75&gt;J$71,+J$70,+F$70))</f>
        <v>12.5</v>
      </c>
      <c r="K75" s="16">
        <f>IF($B75&gt;K$71,ROUND(K$71*K$70,2),ROUND($B75*K$70,2))</f>
        <v>-0.13</v>
      </c>
      <c r="L75" s="16">
        <f>IF($B75&lt;K$71,0,IF($B75&gt;SUM(K$71:L$71),ROUND(L$71*L$70,2),ROUND(($B75-K$71)*L$70,2)))</f>
        <v>0</v>
      </c>
      <c r="M75" s="16">
        <f>IF($B75&gt;M$71,ROUND(($B75-M$71)*M$70,2),0)</f>
        <v>0</v>
      </c>
      <c r="N75" s="17">
        <f>SUM(K75:M75)</f>
        <v>-0.13</v>
      </c>
      <c r="O75" s="16"/>
      <c r="P75" s="16"/>
      <c r="Q75" s="16"/>
      <c r="R75" s="49"/>
      <c r="S75" s="17">
        <f>ROUND($B75*S$70*S74,2)</f>
        <v>0</v>
      </c>
      <c r="T75" s="17">
        <f t="shared" ref="T75:AA75" si="9">ROUND($B75*T$70,2)</f>
        <v>0</v>
      </c>
      <c r="U75" s="17">
        <f t="shared" si="9"/>
        <v>0</v>
      </c>
      <c r="V75" s="17">
        <f t="shared" si="9"/>
        <v>0</v>
      </c>
      <c r="W75" s="17">
        <f t="shared" si="9"/>
        <v>0</v>
      </c>
      <c r="X75" s="17">
        <f t="shared" si="9"/>
        <v>0</v>
      </c>
      <c r="Y75" s="17">
        <f t="shared" si="9"/>
        <v>0</v>
      </c>
      <c r="Z75" s="17">
        <f t="shared" si="9"/>
        <v>0</v>
      </c>
      <c r="AA75" s="17">
        <f t="shared" si="9"/>
        <v>0</v>
      </c>
      <c r="AB75" s="19">
        <f>SUM(U70:AA70)</f>
        <v>7.4910000000000011E-3</v>
      </c>
      <c r="AC75" s="67" t="str">
        <f>+F75</f>
        <v>RH</v>
      </c>
    </row>
    <row r="76" spans="1:29" x14ac:dyDescent="0.2">
      <c r="A76" s="78"/>
      <c r="B76" s="103">
        <v>-1</v>
      </c>
      <c r="F76" s="36"/>
      <c r="G76" s="17"/>
      <c r="H76" s="19"/>
      <c r="I76" s="19"/>
      <c r="J76" s="16"/>
      <c r="K76" s="16"/>
      <c r="L76" s="16"/>
      <c r="M76" s="16"/>
      <c r="N76" s="16"/>
      <c r="O76" s="16"/>
      <c r="P76" s="16"/>
      <c r="Q76" s="16"/>
      <c r="R76" s="16"/>
      <c r="S76" s="50">
        <v>1</v>
      </c>
      <c r="T76" s="17"/>
      <c r="U76" s="17"/>
      <c r="V76" s="17"/>
      <c r="W76" s="17"/>
      <c r="X76" s="17"/>
      <c r="Y76" s="17"/>
      <c r="Z76" s="17"/>
      <c r="AA76" s="17"/>
    </row>
    <row r="77" spans="1:29" x14ac:dyDescent="0.2">
      <c r="B77" s="103">
        <f>IF(AND('AES Indiana Bill Calc.'!$D$17="RH",'AES Indiana Bill Calc.'!$D$18="Yes 100%"),'AES Indiana Bill Calc.'!$D$19,-1)</f>
        <v>-1</v>
      </c>
      <c r="C77" s="1" t="s">
        <v>148</v>
      </c>
      <c r="F77" s="36" t="s">
        <v>53</v>
      </c>
      <c r="G77" s="17">
        <f>SUM(J77:M77,O77:P77,R77:AA77)</f>
        <v>12.37</v>
      </c>
      <c r="H77" s="19" t="e">
        <f>IF(ISBLANK(B77),0,+#REF!/B77)</f>
        <v>#REF!</v>
      </c>
      <c r="I77" s="19"/>
      <c r="J77" s="16">
        <f>IF(ISBLANK(B77),0,IF(B77&gt;J$71,+J$70,+F$70))</f>
        <v>12.5</v>
      </c>
      <c r="K77" s="16">
        <f>IF($B77&gt;K$71,ROUND(K$71*K$70,2),ROUND($B77*K$70,2))</f>
        <v>-0.13</v>
      </c>
      <c r="L77" s="16">
        <f>IF($B77&lt;K$71,0,IF($B77&gt;SUM(K$71:L$71),ROUND(L$71*L$70,2),ROUND(($B77-K$71)*L$70,2)))</f>
        <v>0</v>
      </c>
      <c r="M77" s="16">
        <f>IF($B77&gt;M$71,ROUND(($B77-M$71)*M$70,2),0)</f>
        <v>0</v>
      </c>
      <c r="N77" s="17">
        <f>SUM(K77:M77)</f>
        <v>-0.13</v>
      </c>
      <c r="O77" s="16"/>
      <c r="P77" s="16"/>
      <c r="Q77" s="16"/>
      <c r="R77" s="49"/>
      <c r="S77" s="17">
        <f>ROUND($B77*S$70*S76,2)</f>
        <v>0</v>
      </c>
      <c r="T77" s="17">
        <f>ROUND($B77*T$70,2)</f>
        <v>0</v>
      </c>
      <c r="U77" s="17">
        <f t="shared" ref="U77:AA81" si="10">ROUND($B77*U$70,2)</f>
        <v>0</v>
      </c>
      <c r="V77" s="17">
        <f t="shared" si="10"/>
        <v>0</v>
      </c>
      <c r="W77" s="17">
        <f t="shared" si="10"/>
        <v>0</v>
      </c>
      <c r="X77" s="17">
        <f t="shared" si="10"/>
        <v>0</v>
      </c>
      <c r="Y77" s="17">
        <f t="shared" si="10"/>
        <v>0</v>
      </c>
      <c r="Z77" s="17">
        <f t="shared" si="10"/>
        <v>0</v>
      </c>
      <c r="AA77" s="17">
        <f t="shared" si="10"/>
        <v>0</v>
      </c>
      <c r="AB77" s="19">
        <f>SUM(U70:AA70)+S70*S76</f>
        <v>1.0491E-2</v>
      </c>
      <c r="AC77" s="67" t="str">
        <f>+F77</f>
        <v>RH</v>
      </c>
    </row>
    <row r="78" spans="1:29" x14ac:dyDescent="0.2">
      <c r="A78" s="78"/>
      <c r="B78" s="103">
        <v>-1</v>
      </c>
      <c r="F78" s="36"/>
      <c r="G78" s="17"/>
      <c r="H78" s="19"/>
      <c r="I78" s="19"/>
      <c r="J78" s="16"/>
      <c r="K78" s="16"/>
      <c r="L78" s="16"/>
      <c r="M78" s="16"/>
      <c r="N78" s="16"/>
      <c r="O78" s="16"/>
      <c r="P78" s="16"/>
      <c r="Q78" s="16"/>
      <c r="R78" s="16"/>
      <c r="S78" s="50">
        <v>0.5</v>
      </c>
      <c r="T78" s="17"/>
      <c r="U78" s="17"/>
      <c r="V78" s="17"/>
      <c r="W78" s="17"/>
      <c r="X78" s="17"/>
      <c r="Y78" s="17"/>
      <c r="Z78" s="17"/>
      <c r="AA78" s="17"/>
    </row>
    <row r="79" spans="1:29" x14ac:dyDescent="0.2">
      <c r="B79" s="103">
        <f>IF(AND('AES Indiana Bill Calc.'!$D$17="RH",'AES Indiana Bill Calc.'!$D$18="Yes 50%"),'AES Indiana Bill Calc.'!$D$19,-1)</f>
        <v>-1</v>
      </c>
      <c r="C79" s="1" t="s">
        <v>149</v>
      </c>
      <c r="F79" s="36" t="s">
        <v>53</v>
      </c>
      <c r="G79" s="17">
        <f>SUM(J79:M79,O79:P79,R79:AA79)</f>
        <v>12.37</v>
      </c>
      <c r="H79" s="19" t="e">
        <f>IF(ISBLANK(B79),0,+#REF!/B79)</f>
        <v>#REF!</v>
      </c>
      <c r="I79" s="19"/>
      <c r="J79" s="16">
        <f>IF(ISBLANK(B79),0,IF(B79&gt;J$71,+J$70,+F$70))</f>
        <v>12.5</v>
      </c>
      <c r="K79" s="16">
        <f>IF($B79&gt;K$71,ROUND(K$71*K$70,2),ROUND($B79*K$70,2))</f>
        <v>-0.13</v>
      </c>
      <c r="L79" s="16">
        <f>IF($B79&lt;K$71,0,IF($B79&gt;SUM(K$71:L$71),ROUND(L$71*L$70,2),ROUND(($B79-K$71)*L$70,2)))</f>
        <v>0</v>
      </c>
      <c r="M79" s="16">
        <f>IF($B79&gt;M$71,ROUND(($B79-M$71)*M$70,2),0)</f>
        <v>0</v>
      </c>
      <c r="N79" s="17">
        <f>SUM(K79:M79)</f>
        <v>-0.13</v>
      </c>
      <c r="O79" s="16"/>
      <c r="P79" s="16"/>
      <c r="Q79" s="16"/>
      <c r="R79" s="49"/>
      <c r="S79" s="17">
        <f>ROUND($B79*S$70*S78,2)</f>
        <v>0</v>
      </c>
      <c r="T79" s="17">
        <f>ROUND($B79*T$70,2)</f>
        <v>0</v>
      </c>
      <c r="U79" s="17">
        <f t="shared" si="10"/>
        <v>0</v>
      </c>
      <c r="V79" s="17">
        <f t="shared" si="10"/>
        <v>0</v>
      </c>
      <c r="W79" s="17">
        <f t="shared" si="10"/>
        <v>0</v>
      </c>
      <c r="X79" s="17">
        <f t="shared" si="10"/>
        <v>0</v>
      </c>
      <c r="Y79" s="17">
        <f t="shared" si="10"/>
        <v>0</v>
      </c>
      <c r="Z79" s="17">
        <f t="shared" si="10"/>
        <v>0</v>
      </c>
      <c r="AA79" s="17">
        <f t="shared" si="10"/>
        <v>0</v>
      </c>
      <c r="AB79" s="19">
        <f>SUM(U72:AA72)+S72*S78</f>
        <v>143.5</v>
      </c>
      <c r="AC79" s="67" t="str">
        <f>+F79</f>
        <v>RH</v>
      </c>
    </row>
    <row r="80" spans="1:29" x14ac:dyDescent="0.2">
      <c r="A80" s="78"/>
      <c r="B80" s="103">
        <v>-1</v>
      </c>
      <c r="F80" s="36"/>
      <c r="G80" s="17"/>
      <c r="H80" s="19"/>
      <c r="I80" s="19"/>
      <c r="J80" s="16"/>
      <c r="K80" s="16"/>
      <c r="L80" s="16"/>
      <c r="M80" s="16"/>
      <c r="N80" s="16"/>
      <c r="O80" s="16"/>
      <c r="P80" s="16"/>
      <c r="Q80" s="16"/>
      <c r="R80" s="16"/>
      <c r="S80" s="50">
        <v>0.25</v>
      </c>
      <c r="T80" s="17"/>
      <c r="U80" s="17"/>
      <c r="V80" s="17"/>
      <c r="W80" s="17"/>
      <c r="X80" s="17"/>
      <c r="Y80" s="17"/>
      <c r="Z80" s="17"/>
      <c r="AA80" s="17"/>
    </row>
    <row r="81" spans="1:29" x14ac:dyDescent="0.2">
      <c r="B81" s="103">
        <f>IF(AND('AES Indiana Bill Calc.'!$D$17="RH",'AES Indiana Bill Calc.'!$D$18="Yes 25%"),'AES Indiana Bill Calc.'!$D$19,-1)</f>
        <v>-1</v>
      </c>
      <c r="C81" s="1" t="s">
        <v>150</v>
      </c>
      <c r="F81" s="36" t="s">
        <v>53</v>
      </c>
      <c r="G81" s="17">
        <f>SUM(J81:M81,O81:P81,R81:AA81)</f>
        <v>12.37</v>
      </c>
      <c r="H81" s="19" t="e">
        <f>IF(ISBLANK(B81),0,+#REF!/B81)</f>
        <v>#REF!</v>
      </c>
      <c r="I81" s="19"/>
      <c r="J81" s="16">
        <f>IF(ISBLANK(B81),0,IF(B81&gt;J$71,+J$70,+F$70))</f>
        <v>12.5</v>
      </c>
      <c r="K81" s="16">
        <f>IF($B81&gt;K$71,ROUND(K$71*K$70,2),ROUND($B81*K$70,2))</f>
        <v>-0.13</v>
      </c>
      <c r="L81" s="16">
        <f>IF($B81&lt;K$71,0,IF($B81&gt;SUM(K$71:L$71),ROUND(L$71*L$70,2),ROUND(($B81-K$71)*L$70,2)))</f>
        <v>0</v>
      </c>
      <c r="M81" s="16">
        <f>IF($B81&gt;M$71,ROUND(($B81-M$71)*M$70,2),0)</f>
        <v>0</v>
      </c>
      <c r="N81" s="17">
        <f>SUM(K81:M81)</f>
        <v>-0.13</v>
      </c>
      <c r="O81" s="16"/>
      <c r="P81" s="16"/>
      <c r="Q81" s="16"/>
      <c r="R81" s="49"/>
      <c r="S81" s="17">
        <f>ROUND($B81*S$70*S80,2)</f>
        <v>0</v>
      </c>
      <c r="T81" s="17">
        <f>ROUND($B81*T$70,2)</f>
        <v>0</v>
      </c>
      <c r="U81" s="17">
        <f t="shared" si="10"/>
        <v>0</v>
      </c>
      <c r="V81" s="17">
        <f t="shared" si="10"/>
        <v>0</v>
      </c>
      <c r="W81" s="17">
        <f t="shared" si="10"/>
        <v>0</v>
      </c>
      <c r="X81" s="17">
        <f t="shared" si="10"/>
        <v>0</v>
      </c>
      <c r="Y81" s="17">
        <f t="shared" si="10"/>
        <v>0</v>
      </c>
      <c r="Z81" s="17">
        <f t="shared" si="10"/>
        <v>0</v>
      </c>
      <c r="AA81" s="17">
        <f t="shared" si="10"/>
        <v>0</v>
      </c>
      <c r="AB81" s="19">
        <f>SUM(U74:AA74)+S74*S80</f>
        <v>0</v>
      </c>
      <c r="AC81" s="67" t="str">
        <f>+F81</f>
        <v>RH</v>
      </c>
    </row>
    <row r="82" spans="1:29" x14ac:dyDescent="0.2">
      <c r="B82" s="103">
        <v>-1</v>
      </c>
      <c r="C82" s="1"/>
      <c r="F82" s="130"/>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25">
      <c r="A83" s="20"/>
      <c r="B83" s="106">
        <v>-1</v>
      </c>
      <c r="C83" s="28"/>
      <c r="D83" s="21"/>
      <c r="F83" s="30"/>
      <c r="G83" s="23"/>
      <c r="H83" s="21"/>
      <c r="J83" s="24"/>
      <c r="K83" s="24"/>
      <c r="L83" s="24"/>
      <c r="M83" s="24"/>
      <c r="N83" s="24"/>
      <c r="O83" s="24"/>
      <c r="P83" s="24"/>
      <c r="Q83" s="24"/>
      <c r="R83" s="24"/>
      <c r="S83" s="23"/>
      <c r="T83" s="23"/>
      <c r="U83" s="23"/>
      <c r="V83" s="23"/>
      <c r="W83" s="23"/>
      <c r="X83" s="23"/>
      <c r="Y83" s="23"/>
      <c r="Z83" s="23"/>
      <c r="AA83" s="23"/>
      <c r="AB83" s="21"/>
    </row>
    <row r="84" spans="1:29" x14ac:dyDescent="0.2">
      <c r="B84" s="103">
        <v>-1</v>
      </c>
      <c r="V84" s="27">
        <f>+T9</f>
        <v>0</v>
      </c>
      <c r="W84" s="6" t="s">
        <v>154</v>
      </c>
      <c r="AB84" s="19" t="e">
        <f>+AB$93-V$93+#REF!</f>
        <v>#REF!</v>
      </c>
    </row>
    <row r="85" spans="1:29" x14ac:dyDescent="0.2">
      <c r="B85" s="103">
        <v>-1</v>
      </c>
      <c r="S85" s="6"/>
      <c r="T85" s="6"/>
      <c r="U85" s="6"/>
      <c r="V85" s="27">
        <f>+T11</f>
        <v>0</v>
      </c>
      <c r="W85" s="6" t="s">
        <v>155</v>
      </c>
      <c r="X85" s="6"/>
      <c r="Y85" s="6"/>
      <c r="Z85" s="6"/>
      <c r="AA85" s="6"/>
      <c r="AB85" s="19">
        <f>+AB$93-V$93+V84</f>
        <v>3.8980000000000004E-3</v>
      </c>
    </row>
    <row r="86" spans="1:29" x14ac:dyDescent="0.2">
      <c r="B86" s="103">
        <v>-1</v>
      </c>
      <c r="S86" s="6"/>
      <c r="T86" s="6"/>
      <c r="U86" s="6"/>
      <c r="V86" s="27">
        <f>T15</f>
        <v>1.37E-4</v>
      </c>
      <c r="W86" s="6" t="s">
        <v>156</v>
      </c>
      <c r="X86" s="6"/>
      <c r="Y86" s="6"/>
      <c r="Z86" s="6"/>
      <c r="AA86" s="6"/>
      <c r="AB86" s="19">
        <f>+AB$93-V$93+V85</f>
        <v>3.8980000000000004E-3</v>
      </c>
    </row>
    <row r="87" spans="1:29" x14ac:dyDescent="0.2">
      <c r="B87" s="103">
        <v>-1</v>
      </c>
      <c r="S87" s="6"/>
      <c r="T87" s="6"/>
      <c r="U87" s="6"/>
      <c r="V87" s="27">
        <f>$T$18</f>
        <v>-9.0000000000000002E-6</v>
      </c>
      <c r="W87" s="6" t="s">
        <v>157</v>
      </c>
      <c r="X87" s="6"/>
      <c r="Y87" s="6"/>
      <c r="Z87" s="6"/>
      <c r="AA87" s="6"/>
      <c r="AB87" s="19"/>
    </row>
    <row r="88" spans="1:29" x14ac:dyDescent="0.2">
      <c r="B88" s="103">
        <v>-1</v>
      </c>
      <c r="S88" s="6"/>
      <c r="T88" s="6"/>
      <c r="U88" s="6"/>
      <c r="V88" s="27">
        <f>$T$20</f>
        <v>-2.5500000000000002E-4</v>
      </c>
      <c r="W88" s="6" t="s">
        <v>158</v>
      </c>
      <c r="X88" s="6"/>
      <c r="Y88" s="6"/>
      <c r="Z88" s="6"/>
      <c r="AA88" s="6"/>
      <c r="AB88" s="19"/>
    </row>
    <row r="89" spans="1:29" x14ac:dyDescent="0.2">
      <c r="B89" s="103">
        <v>-1</v>
      </c>
      <c r="S89" s="6"/>
      <c r="T89" s="6"/>
      <c r="U89" s="6"/>
      <c r="V89" s="27">
        <f>$T$22</f>
        <v>-2.941E-3</v>
      </c>
      <c r="W89" s="6" t="s">
        <v>159</v>
      </c>
      <c r="X89" s="6"/>
      <c r="Y89" s="6"/>
      <c r="Z89" s="6"/>
      <c r="AA89" s="6"/>
      <c r="AB89" s="19"/>
    </row>
    <row r="90" spans="1:29" x14ac:dyDescent="0.2">
      <c r="B90" s="103">
        <v>-1</v>
      </c>
      <c r="S90" s="6"/>
      <c r="T90" s="6"/>
      <c r="U90" s="6"/>
      <c r="V90" s="121">
        <f>T24</f>
        <v>0</v>
      </c>
      <c r="W90" s="6" t="s">
        <v>160</v>
      </c>
      <c r="X90" s="6"/>
      <c r="Y90" s="6"/>
      <c r="Z90" s="6"/>
      <c r="AA90" s="6"/>
      <c r="AB90" s="19"/>
    </row>
    <row r="91" spans="1:29" x14ac:dyDescent="0.2">
      <c r="B91" s="103">
        <v>-1</v>
      </c>
      <c r="S91" s="6"/>
      <c r="T91" s="6"/>
      <c r="U91" s="6"/>
      <c r="V91" s="19">
        <f>T26</f>
        <v>0</v>
      </c>
      <c r="W91" s="6" t="s">
        <v>161</v>
      </c>
      <c r="X91" s="6"/>
      <c r="Y91" s="6"/>
      <c r="Z91" s="6"/>
      <c r="AA91" s="6"/>
      <c r="AB91" s="19"/>
    </row>
    <row r="92" spans="1:29" x14ac:dyDescent="0.2">
      <c r="B92" s="103"/>
      <c r="S92" s="6"/>
      <c r="T92" s="6"/>
      <c r="U92" s="6"/>
      <c r="V92" s="19">
        <f>T28</f>
        <v>1.15E-3</v>
      </c>
      <c r="W92" s="6" t="s">
        <v>301</v>
      </c>
      <c r="X92" s="6"/>
      <c r="Y92" s="6"/>
      <c r="Z92" s="6"/>
      <c r="AA92" s="6"/>
      <c r="AB92" s="19"/>
    </row>
    <row r="93" spans="1:29" x14ac:dyDescent="0.2">
      <c r="B93" s="103">
        <v>-1</v>
      </c>
      <c r="C93" s="4"/>
      <c r="F93" s="160">
        <v>40</v>
      </c>
      <c r="G93" s="70"/>
      <c r="H93" s="70"/>
      <c r="I93" s="70"/>
      <c r="J93" s="161">
        <v>55</v>
      </c>
      <c r="K93" s="162">
        <v>0.12295200000000001</v>
      </c>
      <c r="L93" s="162">
        <v>0.108472</v>
      </c>
      <c r="M93" s="5"/>
      <c r="N93" s="5"/>
      <c r="O93" s="5"/>
      <c r="P93" s="5"/>
      <c r="Q93" s="5"/>
      <c r="R93" s="5"/>
      <c r="S93" s="27">
        <f>+M$4</f>
        <v>3.0000000000000001E-3</v>
      </c>
      <c r="T93" s="27">
        <f t="shared" ref="T93:AA93" si="11">+R$4</f>
        <v>-3.4320000000000002E-3</v>
      </c>
      <c r="U93" s="117">
        <f>+S$4</f>
        <v>1.523E-3</v>
      </c>
      <c r="V93" s="27">
        <f>+T$4</f>
        <v>6.6499999999999997E-3</v>
      </c>
      <c r="W93" s="27">
        <f t="shared" si="11"/>
        <v>0</v>
      </c>
      <c r="X93" s="27">
        <f t="shared" si="11"/>
        <v>3.2620000000000001E-3</v>
      </c>
      <c r="Y93" s="27">
        <f t="shared" si="11"/>
        <v>-1.3760000000000001E-3</v>
      </c>
      <c r="Z93" s="27">
        <f t="shared" si="11"/>
        <v>4.8899999999999996E-4</v>
      </c>
      <c r="AA93" s="27">
        <f t="shared" si="11"/>
        <v>-4.5600000000000003E-4</v>
      </c>
      <c r="AB93" s="19">
        <f>SUM(U93:Z93)</f>
        <v>1.0548E-2</v>
      </c>
    </row>
    <row r="94" spans="1:29" x14ac:dyDescent="0.2">
      <c r="A94" s="1"/>
      <c r="B94" s="103">
        <v>-1</v>
      </c>
      <c r="F94" s="72"/>
      <c r="G94" s="70"/>
      <c r="H94" s="70"/>
      <c r="I94" s="70"/>
      <c r="J94" s="73">
        <v>5000</v>
      </c>
      <c r="K94" s="73">
        <v>5000</v>
      </c>
      <c r="L94" s="70"/>
    </row>
    <row r="95" spans="1:29" x14ac:dyDescent="0.2">
      <c r="B95" s="103">
        <v>-1</v>
      </c>
      <c r="F95" s="12"/>
      <c r="J95" s="12" t="s">
        <v>137</v>
      </c>
      <c r="K95" s="204" t="s">
        <v>28</v>
      </c>
      <c r="L95" s="204"/>
      <c r="M95" s="12"/>
      <c r="N95" s="12"/>
      <c r="O95" s="12"/>
      <c r="P95" s="12"/>
      <c r="Q95" s="12"/>
      <c r="R95" s="12"/>
      <c r="S95" s="12">
        <v>21</v>
      </c>
      <c r="T95" s="12">
        <v>6</v>
      </c>
      <c r="U95" s="12">
        <v>3</v>
      </c>
      <c r="V95" s="12">
        <v>22</v>
      </c>
      <c r="W95" s="12">
        <v>13</v>
      </c>
      <c r="X95" s="12">
        <v>20</v>
      </c>
      <c r="Y95" s="12">
        <v>24</v>
      </c>
      <c r="Z95" s="12">
        <v>25</v>
      </c>
      <c r="AA95" s="12">
        <v>26</v>
      </c>
    </row>
    <row r="96" spans="1:29" x14ac:dyDescent="0.2">
      <c r="A96" s="13"/>
      <c r="B96" s="14">
        <v>-1</v>
      </c>
      <c r="C96" s="14"/>
      <c r="D96" s="15"/>
      <c r="F96" s="13" t="s">
        <v>141</v>
      </c>
      <c r="G96" s="13" t="s">
        <v>142</v>
      </c>
      <c r="H96" s="13" t="s">
        <v>143</v>
      </c>
      <c r="I96" s="12"/>
      <c r="J96" s="13" t="s">
        <v>144</v>
      </c>
      <c r="K96" s="13" t="s">
        <v>162</v>
      </c>
      <c r="L96" s="13" t="s">
        <v>163</v>
      </c>
      <c r="M96" s="13"/>
      <c r="N96" s="143" t="s">
        <v>138</v>
      </c>
      <c r="O96" s="13"/>
      <c r="P96" s="13"/>
      <c r="Q96" s="13"/>
      <c r="R96" s="13"/>
      <c r="S96" s="13" t="s">
        <v>106</v>
      </c>
      <c r="T96" s="13" t="s">
        <v>36</v>
      </c>
      <c r="U96" s="139" t="s">
        <v>38</v>
      </c>
      <c r="V96" s="13" t="s">
        <v>107</v>
      </c>
      <c r="W96" s="13" t="s">
        <v>108</v>
      </c>
      <c r="X96" s="13" t="s">
        <v>109</v>
      </c>
      <c r="Y96" s="139" t="s">
        <v>44</v>
      </c>
      <c r="Z96" s="139" t="s">
        <v>46</v>
      </c>
      <c r="AA96" s="139" t="s">
        <v>48</v>
      </c>
      <c r="AB96" s="66" t="s">
        <v>110</v>
      </c>
    </row>
    <row r="97" spans="1:29" x14ac:dyDescent="0.2">
      <c r="B97" s="103">
        <v>-1</v>
      </c>
      <c r="C97" s="34"/>
      <c r="F97" s="12"/>
      <c r="G97" s="12"/>
      <c r="H97" s="12"/>
      <c r="I97" s="12"/>
      <c r="J97" s="12"/>
      <c r="K97" s="12"/>
      <c r="L97" s="12"/>
      <c r="M97" s="12"/>
      <c r="N97" s="12"/>
      <c r="O97" s="12"/>
      <c r="P97" s="12"/>
      <c r="Q97" s="12"/>
      <c r="R97" s="12"/>
      <c r="S97" s="50">
        <v>0</v>
      </c>
      <c r="T97" s="12"/>
      <c r="U97" s="12"/>
      <c r="V97" s="12"/>
      <c r="W97" s="12"/>
      <c r="X97" s="12"/>
      <c r="Y97" s="12"/>
      <c r="Z97" s="12"/>
      <c r="AA97" s="12"/>
    </row>
    <row r="98" spans="1:29" x14ac:dyDescent="0.2">
      <c r="B98" s="103">
        <f>IF(AND('AES Indiana Bill Calc.'!$D$17="SS",'AES Indiana Bill Calc.'!$D$18="No",'AES Indiana Bill Calc.'!$D$20="No"),'AES Indiana Bill Calc.'!$D$19,-1)</f>
        <v>-1</v>
      </c>
      <c r="C98" s="1" t="s">
        <v>147</v>
      </c>
      <c r="F98" s="36" t="s">
        <v>54</v>
      </c>
      <c r="G98" s="17">
        <f>SUM(J98:M98,O98:P98,R98:AA98)</f>
        <v>39.870000000000005</v>
      </c>
      <c r="H98" s="19" t="e">
        <f>IF(ISBLANK(B98),0,+#REF!/B98)</f>
        <v>#REF!</v>
      </c>
      <c r="I98" s="19"/>
      <c r="J98" s="16">
        <f>IF(ISBLANK(B98),0,IF(B98&gt;J$94,+J$93,+F$93))</f>
        <v>40</v>
      </c>
      <c r="K98" s="16">
        <f>IF($B98&gt;K$94,ROUND(K$94*K$93,2),ROUND($B98*K$93,2))</f>
        <v>-0.12</v>
      </c>
      <c r="L98" s="16">
        <f>IF($B98&gt;K$94,ROUND(($B98-K$94)*L$93,2),0)</f>
        <v>0</v>
      </c>
      <c r="M98" s="8"/>
      <c r="N98" s="17">
        <f>SUM(K98:L98)</f>
        <v>-0.12</v>
      </c>
      <c r="O98" s="8"/>
      <c r="P98" s="8"/>
      <c r="Q98" s="8"/>
      <c r="R98" s="8"/>
      <c r="S98" s="17">
        <f>ROUND($B98*S$93*S97,2)</f>
        <v>0</v>
      </c>
      <c r="T98" s="17">
        <f t="shared" ref="T98:AA98" si="12">ROUND($B98*T$93,2)</f>
        <v>0</v>
      </c>
      <c r="U98" s="116">
        <f t="shared" si="12"/>
        <v>0</v>
      </c>
      <c r="V98" s="17">
        <f>ROUND($B98*V$93,2)</f>
        <v>-0.01</v>
      </c>
      <c r="W98" s="17">
        <f t="shared" si="12"/>
        <v>0</v>
      </c>
      <c r="X98" s="17">
        <f t="shared" si="12"/>
        <v>0</v>
      </c>
      <c r="Y98" s="17">
        <f t="shared" si="12"/>
        <v>0</v>
      </c>
      <c r="Z98" s="17">
        <f t="shared" si="12"/>
        <v>0</v>
      </c>
      <c r="AA98" s="17">
        <f t="shared" si="12"/>
        <v>0</v>
      </c>
      <c r="AB98" s="19">
        <f>SUM(U93:AA93)</f>
        <v>1.0092E-2</v>
      </c>
      <c r="AC98" s="67" t="str">
        <f>+F98</f>
        <v>SS</v>
      </c>
    </row>
    <row r="99" spans="1:29" x14ac:dyDescent="0.2">
      <c r="A99" s="70"/>
      <c r="B99" s="103">
        <v>-1</v>
      </c>
      <c r="C99" s="9"/>
      <c r="F99" s="36"/>
      <c r="G99" s="17"/>
      <c r="H99" s="19"/>
      <c r="I99" s="19"/>
      <c r="J99" s="16"/>
      <c r="K99" s="16"/>
      <c r="L99" s="16"/>
      <c r="M99" s="8"/>
      <c r="N99" s="8"/>
      <c r="O99" s="8"/>
      <c r="P99" s="8"/>
      <c r="Q99" s="8"/>
      <c r="R99" s="8"/>
      <c r="S99" s="50">
        <v>1</v>
      </c>
      <c r="T99" s="17"/>
      <c r="U99" s="17"/>
      <c r="V99" s="17"/>
      <c r="W99" s="17"/>
      <c r="X99" s="17"/>
      <c r="Y99" s="17"/>
      <c r="Z99" s="17"/>
      <c r="AA99" s="17"/>
    </row>
    <row r="100" spans="1:29" x14ac:dyDescent="0.2">
      <c r="A100" s="89"/>
      <c r="B100" s="103">
        <f>IF(AND('AES Indiana Bill Calc.'!$D$17="SS",'AES Indiana Bill Calc.'!$D$18="Yes 100%",'AES Indiana Bill Calc.'!$D$20="No"),'AES Indiana Bill Calc.'!$D$19,-1)</f>
        <v>-1</v>
      </c>
      <c r="C100" s="1" t="s">
        <v>148</v>
      </c>
      <c r="F100" s="36" t="s">
        <v>54</v>
      </c>
      <c r="G100" s="17">
        <f>SUM(J100:M100,O100:P100,R100:AA100)</f>
        <v>39.870000000000005</v>
      </c>
      <c r="H100" s="19" t="e">
        <f>IF(ISBLANK(B100),0,+#REF!/B100)</f>
        <v>#REF!</v>
      </c>
      <c r="I100" s="86"/>
      <c r="J100" s="16">
        <f>IF(ISBLANK(B100),0,IF(B100&gt;J$94,+J$93,+F$93))</f>
        <v>40</v>
      </c>
      <c r="K100" s="16">
        <f>IF($B100&gt;K$94,ROUND(K$94*K$93,2),ROUND($B100*K$93,2))</f>
        <v>-0.12</v>
      </c>
      <c r="L100" s="16">
        <f>IF($B100&gt;K$94,ROUND(($B100-K$94)*L$93,2),0)</f>
        <v>0</v>
      </c>
      <c r="M100" s="8"/>
      <c r="N100" s="17">
        <f>SUM(K100:L100)</f>
        <v>-0.12</v>
      </c>
      <c r="O100" s="8"/>
      <c r="P100" s="8"/>
      <c r="Q100" s="8"/>
      <c r="R100" s="8"/>
      <c r="S100" s="17">
        <f>ROUND($B100*S$93*S99,2)</f>
        <v>0</v>
      </c>
      <c r="T100" s="17">
        <f t="shared" ref="T100:AA100" si="13">ROUND($B100*T$93,2)</f>
        <v>0</v>
      </c>
      <c r="U100" s="17">
        <f t="shared" si="13"/>
        <v>0</v>
      </c>
      <c r="V100" s="17">
        <f>ROUND($B100*V$93,2)</f>
        <v>-0.01</v>
      </c>
      <c r="W100" s="17">
        <f t="shared" si="13"/>
        <v>0</v>
      </c>
      <c r="X100" s="17">
        <f t="shared" si="13"/>
        <v>0</v>
      </c>
      <c r="Y100" s="17">
        <f t="shared" si="13"/>
        <v>0</v>
      </c>
      <c r="Z100" s="17">
        <f t="shared" si="13"/>
        <v>0</v>
      </c>
      <c r="AA100" s="17">
        <f t="shared" si="13"/>
        <v>0</v>
      </c>
      <c r="AB100" s="19">
        <f>SUM(U$93:AA$93)</f>
        <v>1.0092E-2</v>
      </c>
      <c r="AC100" s="67" t="str">
        <f>+F100</f>
        <v>SS</v>
      </c>
    </row>
    <row r="101" spans="1:29" x14ac:dyDescent="0.2">
      <c r="A101" s="70"/>
      <c r="B101" s="103">
        <v>-1</v>
      </c>
      <c r="C101" s="9"/>
      <c r="F101" s="36"/>
      <c r="G101" s="17"/>
      <c r="H101" s="19"/>
      <c r="I101" s="19"/>
      <c r="J101" s="16"/>
      <c r="K101" s="16"/>
      <c r="L101" s="16"/>
      <c r="M101" s="8"/>
      <c r="N101" s="8"/>
      <c r="O101" s="8"/>
      <c r="P101" s="8"/>
      <c r="Q101" s="8"/>
      <c r="R101" s="8"/>
      <c r="S101" s="50">
        <v>0.5</v>
      </c>
      <c r="T101" s="17"/>
      <c r="U101" s="17"/>
      <c r="V101" s="17"/>
      <c r="W101" s="17"/>
      <c r="X101" s="17"/>
      <c r="Y101" s="17"/>
      <c r="Z101" s="17"/>
      <c r="AA101" s="17"/>
    </row>
    <row r="102" spans="1:29" x14ac:dyDescent="0.2">
      <c r="A102" s="89"/>
      <c r="B102" s="103">
        <f>IF(AND('AES Indiana Bill Calc.'!$D$17="SS",'AES Indiana Bill Calc.'!$D$18="Yes 50%",'AES Indiana Bill Calc.'!$D$20="No"),'AES Indiana Bill Calc.'!$D$19,-1)</f>
        <v>-1</v>
      </c>
      <c r="C102" s="1" t="s">
        <v>149</v>
      </c>
      <c r="F102" s="36" t="s">
        <v>54</v>
      </c>
      <c r="G102" s="17">
        <f>SUM(J102:M102,O102:P102,R102:AA102)</f>
        <v>39.870000000000005</v>
      </c>
      <c r="H102" s="19" t="e">
        <f>IF(ISBLANK(B102),0,+#REF!/B102)</f>
        <v>#REF!</v>
      </c>
      <c r="I102" s="86"/>
      <c r="J102" s="16">
        <f>IF(ISBLANK(B102),0,IF(B102&gt;J$94,+J$93,+F$93))</f>
        <v>40</v>
      </c>
      <c r="K102" s="16">
        <f>IF($B102&gt;K$94,ROUND(K$94*K$93,2),ROUND($B102*K$93,2))</f>
        <v>-0.12</v>
      </c>
      <c r="L102" s="16">
        <f>IF($B102&gt;K$94,ROUND(($B102-K$94)*L$93,2),0)</f>
        <v>0</v>
      </c>
      <c r="M102" s="8"/>
      <c r="N102" s="17">
        <f>SUM(K102:L102)</f>
        <v>-0.12</v>
      </c>
      <c r="O102" s="8"/>
      <c r="P102" s="8"/>
      <c r="Q102" s="8"/>
      <c r="R102" s="8"/>
      <c r="S102" s="17">
        <f>ROUND($B102*S$93*S101,2)</f>
        <v>0</v>
      </c>
      <c r="T102" s="17">
        <f t="shared" ref="T102:AA102" si="14">ROUND($B102*T$93,2)</f>
        <v>0</v>
      </c>
      <c r="U102" s="17">
        <f t="shared" si="14"/>
        <v>0</v>
      </c>
      <c r="V102" s="17">
        <f>ROUND($B102*V$93,2)</f>
        <v>-0.01</v>
      </c>
      <c r="W102" s="17">
        <f t="shared" si="14"/>
        <v>0</v>
      </c>
      <c r="X102" s="17">
        <f t="shared" si="14"/>
        <v>0</v>
      </c>
      <c r="Y102" s="17">
        <f t="shared" si="14"/>
        <v>0</v>
      </c>
      <c r="Z102" s="17">
        <f t="shared" si="14"/>
        <v>0</v>
      </c>
      <c r="AA102" s="17">
        <f t="shared" si="14"/>
        <v>0</v>
      </c>
      <c r="AB102" s="19">
        <f>SUM(U$93:AA$93)</f>
        <v>1.0092E-2</v>
      </c>
      <c r="AC102" s="67" t="str">
        <f>+F102</f>
        <v>SS</v>
      </c>
    </row>
    <row r="103" spans="1:29" x14ac:dyDescent="0.2">
      <c r="A103" s="70"/>
      <c r="B103" s="103">
        <v>-1</v>
      </c>
      <c r="C103" s="9"/>
      <c r="F103" s="36"/>
      <c r="G103" s="17"/>
      <c r="H103" s="19"/>
      <c r="I103" s="19"/>
      <c r="J103" s="16"/>
      <c r="K103" s="16"/>
      <c r="L103" s="16"/>
      <c r="M103" s="8"/>
      <c r="N103" s="8"/>
      <c r="O103" s="8"/>
      <c r="P103" s="8"/>
      <c r="Q103" s="8"/>
      <c r="R103" s="8"/>
      <c r="S103" s="50">
        <v>0.25</v>
      </c>
      <c r="T103" s="17"/>
      <c r="U103" s="17"/>
      <c r="V103" s="17"/>
      <c r="W103" s="17"/>
      <c r="X103" s="17"/>
      <c r="Y103" s="17"/>
      <c r="Z103" s="17"/>
      <c r="AA103" s="17"/>
    </row>
    <row r="104" spans="1:29" x14ac:dyDescent="0.2">
      <c r="A104" s="89"/>
      <c r="B104" s="103">
        <f>IF(AND('AES Indiana Bill Calc.'!$D$17="SS",'AES Indiana Bill Calc.'!$D$18="Yes 25%",'AES Indiana Bill Calc.'!$D$20="No"),'AES Indiana Bill Calc.'!$D$19,-1)</f>
        <v>-1</v>
      </c>
      <c r="C104" s="1" t="s">
        <v>150</v>
      </c>
      <c r="F104" s="36" t="s">
        <v>54</v>
      </c>
      <c r="G104" s="17">
        <f>SUM(J104:M104,O104:P104,R104:AA104)</f>
        <v>39.870000000000005</v>
      </c>
      <c r="H104" s="19" t="e">
        <f>IF(ISBLANK(B104),0,+#REF!/B104)</f>
        <v>#REF!</v>
      </c>
      <c r="I104" s="86"/>
      <c r="J104" s="16">
        <f>IF(ISBLANK(B104),0,IF(B104&gt;J$94,+J$93,+F$93))</f>
        <v>40</v>
      </c>
      <c r="K104" s="16">
        <f>IF($B104&gt;K$94,ROUND(K$94*K$93,2),ROUND($B104*K$93,2))</f>
        <v>-0.12</v>
      </c>
      <c r="L104" s="16">
        <f>IF($B104&gt;K$94,ROUND(($B104-K$94)*L$93,2),0)</f>
        <v>0</v>
      </c>
      <c r="M104" s="8"/>
      <c r="N104" s="17">
        <f>SUM(K104:L104)</f>
        <v>-0.12</v>
      </c>
      <c r="O104" s="8"/>
      <c r="P104" s="8"/>
      <c r="Q104" s="8"/>
      <c r="R104" s="8"/>
      <c r="S104" s="17">
        <f>ROUND($B104*S$93*S103,2)</f>
        <v>0</v>
      </c>
      <c r="T104" s="17">
        <f t="shared" ref="T104:AA106" si="15">ROUND($B104*T$93,2)</f>
        <v>0</v>
      </c>
      <c r="U104" s="17">
        <f t="shared" si="15"/>
        <v>0</v>
      </c>
      <c r="V104" s="17">
        <f>ROUND($B104*V$93,2)</f>
        <v>-0.01</v>
      </c>
      <c r="W104" s="17">
        <f t="shared" si="15"/>
        <v>0</v>
      </c>
      <c r="X104" s="17">
        <f t="shared" si="15"/>
        <v>0</v>
      </c>
      <c r="Y104" s="17">
        <f t="shared" si="15"/>
        <v>0</v>
      </c>
      <c r="Z104" s="17">
        <f t="shared" si="15"/>
        <v>0</v>
      </c>
      <c r="AA104" s="17">
        <f t="shared" si="15"/>
        <v>0</v>
      </c>
      <c r="AB104" s="19">
        <f>SUM(U$93:AA$93)</f>
        <v>1.0092E-2</v>
      </c>
      <c r="AC104" s="67" t="str">
        <f>+F104</f>
        <v>SS</v>
      </c>
    </row>
    <row r="105" spans="1:29" x14ac:dyDescent="0.2">
      <c r="A105" s="70"/>
      <c r="B105" s="103">
        <v>-1</v>
      </c>
      <c r="C105" s="9"/>
      <c r="F105" s="36"/>
      <c r="G105" s="17"/>
      <c r="H105" s="19"/>
      <c r="I105" s="19"/>
      <c r="J105" s="16"/>
      <c r="K105" s="16"/>
      <c r="L105" s="16"/>
      <c r="M105" s="8"/>
      <c r="N105" s="8"/>
      <c r="O105" s="8"/>
      <c r="P105" s="8"/>
      <c r="Q105" s="8"/>
      <c r="R105" s="8"/>
      <c r="S105" s="50">
        <v>0.1</v>
      </c>
      <c r="T105" s="17"/>
      <c r="U105" s="17"/>
      <c r="V105" s="17"/>
      <c r="W105" s="17"/>
      <c r="X105" s="17"/>
      <c r="Y105" s="17"/>
      <c r="Z105" s="17"/>
      <c r="AA105" s="17"/>
    </row>
    <row r="106" spans="1:29" x14ac:dyDescent="0.2">
      <c r="A106" s="89"/>
      <c r="B106" s="103">
        <f>IF(AND('AES Indiana Bill Calc.'!$D$17="SS",'AES Indiana Bill Calc.'!$D$18="Yes 10%",'AES Indiana Bill Calc.'!$D$20="No"),'AES Indiana Bill Calc.'!$D$19,-1)</f>
        <v>-1</v>
      </c>
      <c r="C106" s="1" t="s">
        <v>164</v>
      </c>
      <c r="F106" s="36" t="s">
        <v>54</v>
      </c>
      <c r="G106" s="17">
        <f>SUM(J106:M106,O106:P106,R106:AA106)</f>
        <v>39.870000000000005</v>
      </c>
      <c r="H106" s="19" t="e">
        <f>IF(ISBLANK(B106),0,+#REF!/B106)</f>
        <v>#REF!</v>
      </c>
      <c r="I106" s="86"/>
      <c r="J106" s="16">
        <f>IF(ISBLANK(B106),0,IF(B106&gt;J$94,+J$93,+F$93))</f>
        <v>40</v>
      </c>
      <c r="K106" s="16">
        <f>IF($B106&gt;K$94,ROUND(K$94*K$93,2),ROUND($B106*K$93,2))</f>
        <v>-0.12</v>
      </c>
      <c r="L106" s="16">
        <f>IF($B106&gt;K$94,ROUND(($B106-K$94)*L$93,2),0)</f>
        <v>0</v>
      </c>
      <c r="M106" s="8"/>
      <c r="N106" s="17">
        <f>SUM(K106:L106)</f>
        <v>-0.12</v>
      </c>
      <c r="O106" s="8"/>
      <c r="P106" s="8"/>
      <c r="Q106" s="8"/>
      <c r="R106" s="8"/>
      <c r="S106" s="17">
        <f>ROUND($B106*S$93*S105,2)</f>
        <v>0</v>
      </c>
      <c r="T106" s="17">
        <f t="shared" si="15"/>
        <v>0</v>
      </c>
      <c r="U106" s="17">
        <f t="shared" si="15"/>
        <v>0</v>
      </c>
      <c r="V106" s="17">
        <f>ROUND($B106*V$93,2)</f>
        <v>-0.01</v>
      </c>
      <c r="W106" s="17">
        <f t="shared" si="15"/>
        <v>0</v>
      </c>
      <c r="X106" s="17">
        <f t="shared" si="15"/>
        <v>0</v>
      </c>
      <c r="Y106" s="17">
        <f t="shared" si="15"/>
        <v>0</v>
      </c>
      <c r="Z106" s="17">
        <f t="shared" si="15"/>
        <v>0</v>
      </c>
      <c r="AA106" s="17">
        <f t="shared" si="15"/>
        <v>0</v>
      </c>
      <c r="AB106" s="19">
        <f>SUM(U$93:AA$93)</f>
        <v>1.0092E-2</v>
      </c>
      <c r="AC106" s="67" t="str">
        <f>+F106</f>
        <v>SS</v>
      </c>
    </row>
    <row r="107" spans="1:29" x14ac:dyDescent="0.2">
      <c r="B107" s="103">
        <v>-1</v>
      </c>
      <c r="C107" s="9"/>
      <c r="G107" s="17"/>
      <c r="H107" s="19"/>
      <c r="I107" s="19"/>
      <c r="J107" s="16"/>
      <c r="K107" s="16"/>
      <c r="L107" s="16"/>
      <c r="M107" s="8"/>
      <c r="N107" s="8"/>
      <c r="O107" s="8"/>
      <c r="P107" s="8"/>
      <c r="Q107" s="8"/>
      <c r="R107" s="8"/>
      <c r="S107" s="50">
        <v>1</v>
      </c>
      <c r="T107" s="17"/>
      <c r="U107" s="17"/>
      <c r="V107" s="8"/>
      <c r="W107" s="17"/>
      <c r="X107" s="17"/>
      <c r="Y107" s="17"/>
      <c r="Z107" s="17"/>
      <c r="AA107" s="17"/>
      <c r="AB107" s="19"/>
      <c r="AC107" s="67"/>
    </row>
    <row r="108" spans="1:29" x14ac:dyDescent="0.2">
      <c r="A108" s="96"/>
      <c r="B108" s="103">
        <f>IF(AND('AES Indiana Bill Calc.'!$D$17="SS",'AES Indiana Bill Calc.'!$D$18="Yes 100%",'AES Indiana Bill Calc.'!$D$20="Yes Before 2018"),'AES Indiana Bill Calc.'!$D$19,-1)</f>
        <v>-1</v>
      </c>
      <c r="C108" s="1" t="s">
        <v>148</v>
      </c>
      <c r="F108" s="36" t="s">
        <v>165</v>
      </c>
      <c r="G108" s="17">
        <f>SUM(J108:M108,O108:P108,R108:AA108)</f>
        <v>39.880000000000003</v>
      </c>
      <c r="H108" s="19" t="e">
        <f>IF(ISBLANK(B108),0,+#REF!/B108)</f>
        <v>#REF!</v>
      </c>
      <c r="I108" s="19"/>
      <c r="J108" s="82">
        <f>IF(ISBLANK(B108),0,IF(B108&gt;J$94,+J$93,+F$93))</f>
        <v>40</v>
      </c>
      <c r="K108" s="82">
        <f>IF($B108&gt;K$94,ROUND(K$94*K$93,2),ROUND($B108*K$93,2))</f>
        <v>-0.12</v>
      </c>
      <c r="L108" s="82">
        <f>IF($B108&gt;K$94,ROUND(($B108-K$94)*L$93,2),0)</f>
        <v>0</v>
      </c>
      <c r="M108" s="41"/>
      <c r="N108" s="17">
        <f>SUM(K108:L108)</f>
        <v>-0.12</v>
      </c>
      <c r="O108" s="41"/>
      <c r="P108" s="41"/>
      <c r="Q108" s="41"/>
      <c r="R108" s="41"/>
      <c r="S108" s="42">
        <f>ROUND($B108*S$93*S97,2)</f>
        <v>0</v>
      </c>
      <c r="T108" s="42">
        <f>ROUND($B108*T$93,2)</f>
        <v>0</v>
      </c>
      <c r="U108" s="42">
        <f>ROUND($B108*U$93,2)</f>
        <v>0</v>
      </c>
      <c r="V108" s="41">
        <f>ROUND($B108*V85,2)</f>
        <v>0</v>
      </c>
      <c r="W108" s="42">
        <f>ROUND($B108*W$93,2)</f>
        <v>0</v>
      </c>
      <c r="X108" s="42">
        <f>ROUND($B108*X$93,2)</f>
        <v>0</v>
      </c>
      <c r="Y108" s="42">
        <f>ROUND($B108*Y$93,2)</f>
        <v>0</v>
      </c>
      <c r="Z108" s="42">
        <f>ROUND($B108*Z$93,2)</f>
        <v>0</v>
      </c>
      <c r="AA108" s="42">
        <f>ROUND($B108*AA$93,2)</f>
        <v>0</v>
      </c>
      <c r="AB108" s="19">
        <f>SUM(U$93:AA$93)+(-V$93+V77)</f>
        <v>3.4420000000000006E-3</v>
      </c>
      <c r="AC108" s="94" t="str">
        <f>+F108</f>
        <v>SS7</v>
      </c>
    </row>
    <row r="109" spans="1:29" x14ac:dyDescent="0.2">
      <c r="B109" s="103">
        <v>-1</v>
      </c>
      <c r="C109" s="9"/>
      <c r="G109" s="17"/>
      <c r="H109" s="19"/>
      <c r="I109" s="19"/>
      <c r="J109" s="16"/>
      <c r="K109" s="16"/>
      <c r="L109" s="16"/>
      <c r="M109" s="8"/>
      <c r="N109" s="8"/>
      <c r="O109" s="8"/>
      <c r="P109" s="8"/>
      <c r="Q109" s="8"/>
      <c r="R109" s="8"/>
      <c r="S109" s="50">
        <v>0.5</v>
      </c>
      <c r="T109" s="17"/>
      <c r="U109" s="17"/>
      <c r="V109" s="8"/>
      <c r="W109" s="17"/>
      <c r="X109" s="17"/>
      <c r="Y109" s="17"/>
      <c r="Z109" s="17"/>
      <c r="AA109" s="17"/>
      <c r="AB109" s="19"/>
      <c r="AC109" s="67"/>
    </row>
    <row r="110" spans="1:29" x14ac:dyDescent="0.2">
      <c r="A110" s="96"/>
      <c r="B110" s="103">
        <f>IF(AND('AES Indiana Bill Calc.'!$D$17="SS",'AES Indiana Bill Calc.'!$D$18="Yes 50%",'AES Indiana Bill Calc.'!$D$20="Yes Before 2018"),'AES Indiana Bill Calc.'!$D$19,-1)</f>
        <v>-1</v>
      </c>
      <c r="C110" s="1" t="s">
        <v>149</v>
      </c>
      <c r="F110" s="36" t="s">
        <v>165</v>
      </c>
      <c r="G110" s="17">
        <f>SUM(J110:M110,O110:P110,R110:AA110)</f>
        <v>39.880000000000003</v>
      </c>
      <c r="H110" s="19" t="e">
        <f>IF(ISBLANK(B110),0,+#REF!/B110)</f>
        <v>#REF!</v>
      </c>
      <c r="I110" s="19"/>
      <c r="J110" s="82">
        <f>IF(ISBLANK(B110),0,IF(B110&gt;J$94,+J$93,+F$93))</f>
        <v>40</v>
      </c>
      <c r="K110" s="82">
        <f>IF($B110&gt;K$94,ROUND(K$94*K$93,2),ROUND($B110*K$93,2))</f>
        <v>-0.12</v>
      </c>
      <c r="L110" s="82">
        <f>IF($B110&gt;K$94,ROUND(($B110-K$94)*L$93,2),0)</f>
        <v>0</v>
      </c>
      <c r="M110" s="41"/>
      <c r="N110" s="17">
        <f>SUM(K110:L110)</f>
        <v>-0.12</v>
      </c>
      <c r="O110" s="41"/>
      <c r="P110" s="41"/>
      <c r="Q110" s="41"/>
      <c r="R110" s="41"/>
      <c r="S110" s="42">
        <f>ROUND($B110*S$93*S109,2)</f>
        <v>0</v>
      </c>
      <c r="T110" s="42">
        <f>ROUND($B110*T$93,2)</f>
        <v>0</v>
      </c>
      <c r="U110" s="42">
        <f>ROUND($B110*U$93,2)</f>
        <v>0</v>
      </c>
      <c r="V110" s="41">
        <f>ROUND($B110*V85,2)</f>
        <v>0</v>
      </c>
      <c r="W110" s="42">
        <f>ROUND($B110*W$93,2)</f>
        <v>0</v>
      </c>
      <c r="X110" s="42">
        <f>ROUND($B110*X$93,2)</f>
        <v>0</v>
      </c>
      <c r="Y110" s="42">
        <f>ROUND($B110*Y$93,2)</f>
        <v>0</v>
      </c>
      <c r="Z110" s="42">
        <f>ROUND($B110*Z$93,2)</f>
        <v>0</v>
      </c>
      <c r="AA110" s="42">
        <f>ROUND($B110*AA$93,2)</f>
        <v>0</v>
      </c>
      <c r="AB110" s="19">
        <f>SUM(U$93:AA$93)+(-V$93+V79)</f>
        <v>3.4420000000000006E-3</v>
      </c>
      <c r="AC110" s="94" t="str">
        <f>+F110</f>
        <v>SS7</v>
      </c>
    </row>
    <row r="111" spans="1:29" x14ac:dyDescent="0.2">
      <c r="B111" s="103">
        <v>-1</v>
      </c>
      <c r="C111" s="9"/>
      <c r="G111" s="17"/>
      <c r="H111" s="19"/>
      <c r="I111" s="19"/>
      <c r="J111" s="16"/>
      <c r="K111" s="16"/>
      <c r="L111" s="16"/>
      <c r="M111" s="8"/>
      <c r="N111" s="8"/>
      <c r="O111" s="8"/>
      <c r="P111" s="8"/>
      <c r="Q111" s="8"/>
      <c r="R111" s="8"/>
      <c r="S111" s="50">
        <v>0.25</v>
      </c>
      <c r="T111" s="17"/>
      <c r="U111" s="17"/>
      <c r="V111" s="8"/>
      <c r="W111" s="17"/>
      <c r="X111" s="17"/>
      <c r="Y111" s="17"/>
      <c r="Z111" s="17"/>
      <c r="AA111" s="17"/>
      <c r="AB111" s="19"/>
      <c r="AC111" s="67"/>
    </row>
    <row r="112" spans="1:29" x14ac:dyDescent="0.2">
      <c r="A112" s="96"/>
      <c r="B112" s="103">
        <f>IF(AND('AES Indiana Bill Calc.'!$D$17="SS",'AES Indiana Bill Calc.'!$D$18="Yes 25%",'AES Indiana Bill Calc.'!$D$20="Yes Before 2018"),'AES Indiana Bill Calc.'!$D$19,-1)</f>
        <v>-1</v>
      </c>
      <c r="C112" s="1" t="s">
        <v>150</v>
      </c>
      <c r="F112" s="36" t="s">
        <v>165</v>
      </c>
      <c r="G112" s="17">
        <f>SUM(J112:M112,O112:P112,R112:AA112)</f>
        <v>39.880000000000003</v>
      </c>
      <c r="H112" s="19" t="e">
        <f>IF(ISBLANK(B112),0,+#REF!/B112)</f>
        <v>#REF!</v>
      </c>
      <c r="I112" s="19"/>
      <c r="J112" s="82">
        <f>IF(ISBLANK(B112),0,IF(B112&gt;J$94,+J$93,+F$93))</f>
        <v>40</v>
      </c>
      <c r="K112" s="82">
        <f>IF($B112&gt;K$94,ROUND(K$94*K$93,2),ROUND($B112*K$93,2))</f>
        <v>-0.12</v>
      </c>
      <c r="L112" s="82">
        <f>IF($B112&gt;K$94,ROUND(($B112-K$94)*L$93,2),0)</f>
        <v>0</v>
      </c>
      <c r="M112" s="41"/>
      <c r="N112" s="17">
        <f>SUM(K112:L112)</f>
        <v>-0.12</v>
      </c>
      <c r="O112" s="41"/>
      <c r="P112" s="41"/>
      <c r="Q112" s="41"/>
      <c r="R112" s="41"/>
      <c r="S112" s="42">
        <f>ROUND($B112*S$93*S111,2)</f>
        <v>0</v>
      </c>
      <c r="T112" s="42">
        <f>ROUND($B112*T$93,2)</f>
        <v>0</v>
      </c>
      <c r="U112" s="42">
        <f>ROUND($B112*U$93,2)</f>
        <v>0</v>
      </c>
      <c r="V112" s="41">
        <f>ROUND($B112*V85,2)</f>
        <v>0</v>
      </c>
      <c r="W112" s="42">
        <f>ROUND($B112*W$93,2)</f>
        <v>0</v>
      </c>
      <c r="X112" s="42">
        <f>ROUND($B112*X$93,2)</f>
        <v>0</v>
      </c>
      <c r="Y112" s="42">
        <f>ROUND($B112*Y$93,2)</f>
        <v>0</v>
      </c>
      <c r="Z112" s="42">
        <f>ROUND($B112*Z$93,2)</f>
        <v>0</v>
      </c>
      <c r="AA112" s="42">
        <f>ROUND($B112*AA$93,2)</f>
        <v>0</v>
      </c>
      <c r="AB112" s="19">
        <f>SUM(U$93:AA$93)+(-V$93+V81)</f>
        <v>3.4420000000000006E-3</v>
      </c>
      <c r="AC112" s="94" t="str">
        <f>+F112</f>
        <v>SS7</v>
      </c>
    </row>
    <row r="113" spans="1:29" x14ac:dyDescent="0.2">
      <c r="B113" s="103">
        <v>-1</v>
      </c>
      <c r="C113" s="9"/>
      <c r="G113" s="17"/>
      <c r="H113" s="19"/>
      <c r="I113" s="19"/>
      <c r="J113" s="16"/>
      <c r="K113" s="16"/>
      <c r="L113" s="16"/>
      <c r="M113" s="8"/>
      <c r="N113" s="8"/>
      <c r="O113" s="8"/>
      <c r="P113" s="8"/>
      <c r="Q113" s="8"/>
      <c r="R113" s="8"/>
      <c r="S113" s="50">
        <v>0.1</v>
      </c>
      <c r="T113" s="17"/>
      <c r="U113" s="17"/>
      <c r="V113" s="8"/>
      <c r="W113" s="17"/>
      <c r="X113" s="17"/>
      <c r="Y113" s="17"/>
      <c r="Z113" s="17"/>
      <c r="AA113" s="17"/>
      <c r="AB113" s="19"/>
      <c r="AC113" s="67"/>
    </row>
    <row r="114" spans="1:29" x14ac:dyDescent="0.2">
      <c r="A114" s="96"/>
      <c r="B114" s="103">
        <f>IF(AND('AES Indiana Bill Calc.'!$D$17="SS",'AES Indiana Bill Calc.'!$D$18="Yes 10%",'AES Indiana Bill Calc.'!$D$20="Yes Before 2018"),'AES Indiana Bill Calc.'!$D$19,-1)</f>
        <v>-1</v>
      </c>
      <c r="C114" s="1" t="s">
        <v>164</v>
      </c>
      <c r="F114" s="36" t="s">
        <v>165</v>
      </c>
      <c r="G114" s="17">
        <f>SUM(J114:M114,O114:P114,R114:AA114)</f>
        <v>39.880000000000003</v>
      </c>
      <c r="H114" s="19" t="e">
        <f>IF(ISBLANK(B114),0,+#REF!/B114)</f>
        <v>#REF!</v>
      </c>
      <c r="I114" s="19"/>
      <c r="J114" s="82">
        <f>IF(ISBLANK(B114),0,IF(B114&gt;J$94,+J$93,+F$93))</f>
        <v>40</v>
      </c>
      <c r="K114" s="82">
        <f>IF($B114&gt;K$94,ROUND(K$94*K$93,2),ROUND($B114*K$93,2))</f>
        <v>-0.12</v>
      </c>
      <c r="L114" s="82">
        <f>IF($B114&gt;K$94,ROUND(($B114-K$94)*L$93,2),0)</f>
        <v>0</v>
      </c>
      <c r="M114" s="41"/>
      <c r="N114" s="17">
        <f>SUM(K114:L114)</f>
        <v>-0.12</v>
      </c>
      <c r="O114" s="41"/>
      <c r="P114" s="41"/>
      <c r="Q114" s="41"/>
      <c r="R114" s="41"/>
      <c r="S114" s="42">
        <f>ROUND($B114*S$93*S113,2)</f>
        <v>0</v>
      </c>
      <c r="T114" s="42">
        <f>ROUND($B114*T$93,2)</f>
        <v>0</v>
      </c>
      <c r="U114" s="42">
        <f>ROUND($B114*U$93,2)</f>
        <v>0</v>
      </c>
      <c r="V114" s="41">
        <f>ROUND($B114*V85,2)</f>
        <v>0</v>
      </c>
      <c r="W114" s="42">
        <f>ROUND($B114*W$93,2)</f>
        <v>0</v>
      </c>
      <c r="X114" s="42">
        <f>ROUND($B114*X$93,2)</f>
        <v>0</v>
      </c>
      <c r="Y114" s="42">
        <f>ROUND($B114*Y$93,2)</f>
        <v>0</v>
      </c>
      <c r="Z114" s="42">
        <f>ROUND($B114*Z$93,2)</f>
        <v>0</v>
      </c>
      <c r="AA114" s="42">
        <f>ROUND($B114*AA$93,2)</f>
        <v>0</v>
      </c>
      <c r="AB114" s="19">
        <f>SUM(U$93:AA$93)+(-V$93+V83)</f>
        <v>3.4420000000000006E-3</v>
      </c>
      <c r="AC114" s="94" t="str">
        <f>+F114</f>
        <v>SS7</v>
      </c>
    </row>
    <row r="115" spans="1:29" x14ac:dyDescent="0.2">
      <c r="B115" s="103">
        <v>-1</v>
      </c>
      <c r="C115" s="9"/>
      <c r="G115" s="17"/>
      <c r="H115" s="19"/>
      <c r="I115" s="19"/>
      <c r="J115" s="16"/>
      <c r="K115" s="16"/>
      <c r="L115" s="16"/>
      <c r="M115" s="8"/>
      <c r="N115" s="8"/>
      <c r="O115" s="8"/>
      <c r="P115" s="8"/>
      <c r="Q115" s="8"/>
      <c r="R115" s="8"/>
      <c r="S115" s="50">
        <v>0</v>
      </c>
      <c r="T115" s="17"/>
      <c r="U115" s="17"/>
      <c r="V115" s="8"/>
      <c r="W115" s="17"/>
      <c r="X115" s="17"/>
      <c r="Y115" s="17"/>
      <c r="Z115" s="17"/>
      <c r="AA115" s="17"/>
      <c r="AB115" s="19"/>
      <c r="AC115" s="67"/>
    </row>
    <row r="116" spans="1:29" x14ac:dyDescent="0.2">
      <c r="A116" s="96"/>
      <c r="B116" s="103">
        <f>IF(AND('AES Indiana Bill Calc.'!$D$17="SS",'AES Indiana Bill Calc.'!$D$18="No",'AES Indiana Bill Calc.'!$D$20="Yes Before 2018"),'AES Indiana Bill Calc.'!$D$19,-1)</f>
        <v>-1</v>
      </c>
      <c r="C116" s="1" t="s">
        <v>147</v>
      </c>
      <c r="F116" s="36" t="s">
        <v>165</v>
      </c>
      <c r="G116" s="17">
        <f>SUM(J116:M116,O116:P116,R116:AA116)</f>
        <v>39.880000000000003</v>
      </c>
      <c r="H116" s="19" t="e">
        <f>IF(ISBLANK(B116),0,+#REF!/B116)</f>
        <v>#REF!</v>
      </c>
      <c r="I116" s="19"/>
      <c r="J116" s="82">
        <f>IF(ISBLANK(B116),0,IF(B116&gt;J$94,+J$93,+F$93))</f>
        <v>40</v>
      </c>
      <c r="K116" s="82">
        <f>IF($B116&gt;K$94,ROUND(K$94*K$93,2),ROUND($B116*K$93,2))</f>
        <v>-0.12</v>
      </c>
      <c r="L116" s="82">
        <f>IF($B116&gt;K$94,ROUND(($B116-K$94)*L$93,2),0)</f>
        <v>0</v>
      </c>
      <c r="M116" s="41"/>
      <c r="N116" s="17">
        <f>SUM(K116:L116)</f>
        <v>-0.12</v>
      </c>
      <c r="O116" s="41"/>
      <c r="P116" s="41"/>
      <c r="Q116" s="41"/>
      <c r="R116" s="41"/>
      <c r="S116" s="42">
        <f>ROUND($B116*S$93*S115,2)</f>
        <v>0</v>
      </c>
      <c r="T116" s="42">
        <f>ROUND($B116*T$93,2)</f>
        <v>0</v>
      </c>
      <c r="U116" s="42">
        <f>ROUND($B116*U$93,2)</f>
        <v>0</v>
      </c>
      <c r="V116" s="41">
        <f>ROUND($B116*V85,2)</f>
        <v>0</v>
      </c>
      <c r="W116" s="42">
        <f>ROUND($B116*W$93,2)</f>
        <v>0</v>
      </c>
      <c r="X116" s="42">
        <f>ROUND($B116*X$93,2)</f>
        <v>0</v>
      </c>
      <c r="Y116" s="42">
        <f>ROUND($B116*Y$93,2)</f>
        <v>0</v>
      </c>
      <c r="Z116" s="42">
        <f>ROUND($B116*Z$93,2)</f>
        <v>0</v>
      </c>
      <c r="AA116" s="42">
        <f>ROUND($B116*AA$93,2)</f>
        <v>0</v>
      </c>
      <c r="AB116" s="19">
        <f>SUM(U$93:AA$93)+(-V$93+V84)</f>
        <v>3.4420000000000006E-3</v>
      </c>
      <c r="AC116" s="94" t="str">
        <f>+F116</f>
        <v>SS7</v>
      </c>
    </row>
    <row r="117" spans="1:29" x14ac:dyDescent="0.2">
      <c r="B117" s="103">
        <v>-1</v>
      </c>
      <c r="C117" s="9"/>
      <c r="G117" s="17"/>
      <c r="H117" s="19"/>
      <c r="I117" s="19"/>
      <c r="J117" s="16"/>
      <c r="K117" s="16"/>
      <c r="L117" s="16"/>
      <c r="M117" s="8"/>
      <c r="N117" s="8"/>
      <c r="O117" s="8"/>
      <c r="P117" s="8"/>
      <c r="Q117" s="8"/>
      <c r="R117" s="8"/>
      <c r="S117" s="50">
        <v>1</v>
      </c>
      <c r="T117" s="17"/>
      <c r="U117" s="17"/>
      <c r="V117" s="8"/>
      <c r="W117" s="17"/>
      <c r="X117" s="17"/>
      <c r="Y117" s="17"/>
      <c r="Z117" s="17"/>
      <c r="AA117" s="17"/>
      <c r="AB117" s="19"/>
      <c r="AC117" s="67"/>
    </row>
    <row r="118" spans="1:29" x14ac:dyDescent="0.2">
      <c r="A118" s="96"/>
      <c r="B118" s="103">
        <f>IF(AND('AES Indiana Bill Calc.'!$D$17="SS",'AES Indiana Bill Calc.'!$D$18="Yes 100%",'AES Indiana Bill Calc.'!$D$20="Yes 2018"),'AES Indiana Bill Calc.'!$D$19,-1)</f>
        <v>-1</v>
      </c>
      <c r="C118" s="1" t="s">
        <v>148</v>
      </c>
      <c r="F118" s="36" t="s">
        <v>166</v>
      </c>
      <c r="G118" s="17">
        <f>SUM(J118:M118,O118:P118,R118:AA118)</f>
        <v>39.880000000000003</v>
      </c>
      <c r="H118" s="19" t="e">
        <f>IF(ISBLANK(B118),0,+#REF!/B118)</f>
        <v>#REF!</v>
      </c>
      <c r="I118" s="19"/>
      <c r="J118" s="82">
        <f>IF(ISBLANK(B118),0,IF(B118&gt;J$94,+J$93,+F$93))</f>
        <v>40</v>
      </c>
      <c r="K118" s="82">
        <f>IF($B118&gt;K$94,ROUND(K$94*K$93,2),ROUND($B118*K$93,2))</f>
        <v>-0.12</v>
      </c>
      <c r="L118" s="82">
        <f>IF($B118&gt;K$94,ROUND(($B118-K$94)*L$93,2),0)</f>
        <v>0</v>
      </c>
      <c r="M118" s="41"/>
      <c r="N118" s="17">
        <f>SUM(K118:L118)</f>
        <v>-0.12</v>
      </c>
      <c r="O118" s="41"/>
      <c r="P118" s="41"/>
      <c r="Q118" s="41"/>
      <c r="R118" s="41"/>
      <c r="S118" s="42">
        <f>ROUND($B118*S$93*S107,2)</f>
        <v>0</v>
      </c>
      <c r="T118" s="42">
        <f>ROUND($B118*T$93,2)</f>
        <v>0</v>
      </c>
      <c r="U118" s="42">
        <f>ROUND($B118*U$93,2)</f>
        <v>0</v>
      </c>
      <c r="V118" s="41">
        <f>ROUND($B118*V$86,2)</f>
        <v>0</v>
      </c>
      <c r="W118" s="42">
        <f>ROUND($B118*W$93,2)</f>
        <v>0</v>
      </c>
      <c r="X118" s="42">
        <f>ROUND($B118*X$93,2)</f>
        <v>0</v>
      </c>
      <c r="Y118" s="42">
        <f>ROUND($B118*Y$93,2)</f>
        <v>0</v>
      </c>
      <c r="Z118" s="42">
        <f>ROUND($B118*Z$93,2)</f>
        <v>0</v>
      </c>
      <c r="AA118" s="42">
        <f>ROUND($B118*AA$93,2)</f>
        <v>0</v>
      </c>
      <c r="AB118" s="19" t="e">
        <f>SUM(U$93:AA$93)+(-V$93+#REF!)</f>
        <v>#REF!</v>
      </c>
      <c r="AC118" s="94" t="str">
        <f>+F118</f>
        <v>SS8</v>
      </c>
    </row>
    <row r="119" spans="1:29" x14ac:dyDescent="0.2">
      <c r="B119" s="103">
        <v>-1</v>
      </c>
      <c r="C119" s="9"/>
      <c r="G119" s="17"/>
      <c r="H119" s="19"/>
      <c r="I119" s="19"/>
      <c r="J119" s="16"/>
      <c r="K119" s="16"/>
      <c r="L119" s="16"/>
      <c r="M119" s="8"/>
      <c r="N119" s="8"/>
      <c r="O119" s="8"/>
      <c r="P119" s="8"/>
      <c r="Q119" s="8"/>
      <c r="R119" s="8"/>
      <c r="S119" s="50">
        <v>0.5</v>
      </c>
      <c r="T119" s="17"/>
      <c r="U119" s="17"/>
      <c r="V119" s="8"/>
      <c r="W119" s="17"/>
      <c r="X119" s="17"/>
      <c r="Y119" s="17"/>
      <c r="Z119" s="17"/>
      <c r="AA119" s="17"/>
      <c r="AB119" s="19"/>
      <c r="AC119" s="67"/>
    </row>
    <row r="120" spans="1:29" x14ac:dyDescent="0.2">
      <c r="A120" s="96"/>
      <c r="B120" s="103">
        <f>IF(AND('AES Indiana Bill Calc.'!$D$17="SS",'AES Indiana Bill Calc.'!$D$18="Yes 50%",'AES Indiana Bill Calc.'!$D$20="Yes 2018"),'AES Indiana Bill Calc.'!$D$19,-1)</f>
        <v>-1</v>
      </c>
      <c r="C120" s="1" t="s">
        <v>149</v>
      </c>
      <c r="F120" s="36" t="s">
        <v>166</v>
      </c>
      <c r="G120" s="17">
        <f>SUM(J120:M120,O120:P120,R120:AA120)</f>
        <v>39.880000000000003</v>
      </c>
      <c r="H120" s="19" t="e">
        <f>IF(ISBLANK(B120),0,+#REF!/B120)</f>
        <v>#REF!</v>
      </c>
      <c r="I120" s="19"/>
      <c r="J120" s="82">
        <f>IF(ISBLANK(B120),0,IF(B120&gt;J$94,+J$93,+F$93))</f>
        <v>40</v>
      </c>
      <c r="K120" s="82">
        <f>IF($B120&gt;K$94,ROUND(K$94*K$93,2),ROUND($B120*K$93,2))</f>
        <v>-0.12</v>
      </c>
      <c r="L120" s="82">
        <f>IF($B120&gt;K$94,ROUND(($B120-K$94)*L$93,2),0)</f>
        <v>0</v>
      </c>
      <c r="M120" s="41"/>
      <c r="N120" s="17">
        <f>SUM(K120:L120)</f>
        <v>-0.12</v>
      </c>
      <c r="O120" s="41"/>
      <c r="P120" s="41"/>
      <c r="Q120" s="41"/>
      <c r="R120" s="41"/>
      <c r="S120" s="42">
        <f>ROUND($B120*S$93*S119,2)</f>
        <v>0</v>
      </c>
      <c r="T120" s="42">
        <f>ROUND($B120*T$93,2)</f>
        <v>0</v>
      </c>
      <c r="U120" s="42">
        <f>ROUND($B120*U$93,2)</f>
        <v>0</v>
      </c>
      <c r="V120" s="41">
        <f>ROUND($B120*V$86,2)</f>
        <v>0</v>
      </c>
      <c r="W120" s="42">
        <f>ROUND($B120*W$93,2)</f>
        <v>0</v>
      </c>
      <c r="X120" s="42">
        <f>ROUND($B120*X$93,2)</f>
        <v>0</v>
      </c>
      <c r="Y120" s="42">
        <f>ROUND($B120*Y$93,2)</f>
        <v>0</v>
      </c>
      <c r="Z120" s="42">
        <f>ROUND($B120*Z$93,2)</f>
        <v>0</v>
      </c>
      <c r="AA120" s="42">
        <f>ROUND($B120*AA$93,2)</f>
        <v>0</v>
      </c>
      <c r="AB120" s="19">
        <f>SUM(U$93:AA$93)+(-V$93+V87)</f>
        <v>3.4330000000000003E-3</v>
      </c>
      <c r="AC120" s="94" t="str">
        <f>+F120</f>
        <v>SS8</v>
      </c>
    </row>
    <row r="121" spans="1:29" x14ac:dyDescent="0.2">
      <c r="B121" s="103">
        <v>-1</v>
      </c>
      <c r="C121" s="9"/>
      <c r="G121" s="17"/>
      <c r="H121" s="19"/>
      <c r="I121" s="19"/>
      <c r="J121" s="16"/>
      <c r="K121" s="16"/>
      <c r="L121" s="16"/>
      <c r="M121" s="8"/>
      <c r="N121" s="8"/>
      <c r="O121" s="8"/>
      <c r="P121" s="8"/>
      <c r="Q121" s="8"/>
      <c r="R121" s="8"/>
      <c r="S121" s="50">
        <v>0.25</v>
      </c>
      <c r="T121" s="17"/>
      <c r="U121" s="17"/>
      <c r="V121" s="8"/>
      <c r="W121" s="17"/>
      <c r="X121" s="17"/>
      <c r="Y121" s="17"/>
      <c r="Z121" s="17"/>
      <c r="AA121" s="17"/>
      <c r="AB121" s="19"/>
      <c r="AC121" s="67"/>
    </row>
    <row r="122" spans="1:29" x14ac:dyDescent="0.2">
      <c r="A122" s="96"/>
      <c r="B122" s="103">
        <f>IF(AND('AES Indiana Bill Calc.'!$D$17="SS",'AES Indiana Bill Calc.'!$D$18="Yes 25%",'AES Indiana Bill Calc.'!$D$20="Yes 2018"),'AES Indiana Bill Calc.'!$D$19,-1)</f>
        <v>-1</v>
      </c>
      <c r="C122" s="1" t="s">
        <v>150</v>
      </c>
      <c r="F122" s="36" t="s">
        <v>166</v>
      </c>
      <c r="G122" s="17">
        <f>SUM(J122:M122,O122:P122,R122:AA122)</f>
        <v>39.880000000000003</v>
      </c>
      <c r="H122" s="19" t="e">
        <f>IF(ISBLANK(B122),0,+#REF!/B122)</f>
        <v>#REF!</v>
      </c>
      <c r="I122" s="19"/>
      <c r="J122" s="82">
        <f>IF(ISBLANK(B122),0,IF(B122&gt;J$94,+J$93,+F$93))</f>
        <v>40</v>
      </c>
      <c r="K122" s="82">
        <f>IF($B122&gt;K$94,ROUND(K$94*K$93,2),ROUND($B122*K$93,2))</f>
        <v>-0.12</v>
      </c>
      <c r="L122" s="82">
        <f>IF($B122&gt;K$94,ROUND(($B122-K$94)*L$93,2),0)</f>
        <v>0</v>
      </c>
      <c r="M122" s="41"/>
      <c r="N122" s="17">
        <f>SUM(K122:L122)</f>
        <v>-0.12</v>
      </c>
      <c r="O122" s="41"/>
      <c r="P122" s="41"/>
      <c r="Q122" s="41"/>
      <c r="R122" s="41"/>
      <c r="S122" s="42">
        <f>ROUND($B122*S$93*S121,2)</f>
        <v>0</v>
      </c>
      <c r="T122" s="42">
        <f>ROUND($B122*T$93,2)</f>
        <v>0</v>
      </c>
      <c r="U122" s="42">
        <f>ROUND($B122*U$93,2)</f>
        <v>0</v>
      </c>
      <c r="V122" s="41">
        <f>ROUND($B122*V$86,2)</f>
        <v>0</v>
      </c>
      <c r="W122" s="42">
        <f>ROUND($B122*W$93,2)</f>
        <v>0</v>
      </c>
      <c r="X122" s="42">
        <f>ROUND($B122*X$93,2)</f>
        <v>0</v>
      </c>
      <c r="Y122" s="42">
        <f>ROUND($B122*Y$93,2)</f>
        <v>0</v>
      </c>
      <c r="Z122" s="42">
        <f>ROUND($B122*Z$93,2)</f>
        <v>0</v>
      </c>
      <c r="AA122" s="42">
        <f>ROUND($B122*AA$93,2)</f>
        <v>0</v>
      </c>
      <c r="AB122" s="19">
        <f>SUM(U$93:AA$93)+(-V$93+V89)</f>
        <v>5.0100000000000144E-4</v>
      </c>
      <c r="AC122" s="94" t="str">
        <f>+F122</f>
        <v>SS8</v>
      </c>
    </row>
    <row r="123" spans="1:29" x14ac:dyDescent="0.2">
      <c r="B123" s="103">
        <v>-1</v>
      </c>
      <c r="C123" s="9"/>
      <c r="G123" s="17"/>
      <c r="H123" s="19"/>
      <c r="I123" s="19"/>
      <c r="J123" s="16"/>
      <c r="K123" s="16"/>
      <c r="L123" s="16"/>
      <c r="M123" s="8"/>
      <c r="N123" s="8"/>
      <c r="O123" s="8"/>
      <c r="P123" s="8"/>
      <c r="Q123" s="8"/>
      <c r="R123" s="8"/>
      <c r="S123" s="50">
        <v>0.1</v>
      </c>
      <c r="T123" s="17"/>
      <c r="U123" s="17"/>
      <c r="V123" s="8"/>
      <c r="W123" s="17"/>
      <c r="X123" s="17"/>
      <c r="Y123" s="17"/>
      <c r="Z123" s="17"/>
      <c r="AA123" s="17"/>
      <c r="AB123" s="19"/>
      <c r="AC123" s="67"/>
    </row>
    <row r="124" spans="1:29" x14ac:dyDescent="0.2">
      <c r="A124" s="96"/>
      <c r="B124" s="103">
        <f>IF(AND('AES Indiana Bill Calc.'!$D$17="SS",'AES Indiana Bill Calc.'!$D$18="Yes 10%",'AES Indiana Bill Calc.'!$D$20="Yes 2018"),'AES Indiana Bill Calc.'!$D$19,-1)</f>
        <v>-1</v>
      </c>
      <c r="C124" s="1" t="s">
        <v>164</v>
      </c>
      <c r="F124" s="36" t="s">
        <v>166</v>
      </c>
      <c r="G124" s="17">
        <f>SUM(J124:M124,O124:P124,R124:AA124)</f>
        <v>39.880000000000003</v>
      </c>
      <c r="H124" s="19" t="e">
        <f>IF(ISBLANK(B124),0,+#REF!/B124)</f>
        <v>#REF!</v>
      </c>
      <c r="I124" s="19"/>
      <c r="J124" s="82">
        <f>IF(ISBLANK(B124),0,IF(B124&gt;J$94,+J$93,+F$93))</f>
        <v>40</v>
      </c>
      <c r="K124" s="82">
        <f>IF($B124&gt;K$94,ROUND(K$94*K$93,2),ROUND($B124*K$93,2))</f>
        <v>-0.12</v>
      </c>
      <c r="L124" s="82">
        <f>IF($B124&gt;K$94,ROUND(($B124-K$94)*L$93,2),0)</f>
        <v>0</v>
      </c>
      <c r="M124" s="41"/>
      <c r="N124" s="17">
        <f>SUM(K124:L124)</f>
        <v>-0.12</v>
      </c>
      <c r="O124" s="41"/>
      <c r="P124" s="41"/>
      <c r="Q124" s="41"/>
      <c r="R124" s="41"/>
      <c r="S124" s="42">
        <f>ROUND($B124*S$93*S123,2)</f>
        <v>0</v>
      </c>
      <c r="T124" s="42">
        <f>ROUND($B124*T$93,2)</f>
        <v>0</v>
      </c>
      <c r="U124" s="42">
        <f>ROUND($B124*U$93,2)</f>
        <v>0</v>
      </c>
      <c r="V124" s="41">
        <f>ROUND($B124*V$86,2)</f>
        <v>0</v>
      </c>
      <c r="W124" s="42">
        <f>ROUND($B124*W$93,2)</f>
        <v>0</v>
      </c>
      <c r="X124" s="42">
        <f>ROUND($B124*X$93,2)</f>
        <v>0</v>
      </c>
      <c r="Y124" s="42">
        <f>ROUND($B124*Y$93,2)</f>
        <v>0</v>
      </c>
      <c r="Z124" s="42">
        <f>ROUND($B124*Z$93,2)</f>
        <v>0</v>
      </c>
      <c r="AA124" s="42">
        <f>ROUND($B124*AA$93,2)</f>
        <v>0</v>
      </c>
      <c r="AB124" s="19">
        <f>SUM(U$93:AA$93)+(-V$93+V90)</f>
        <v>3.4420000000000006E-3</v>
      </c>
      <c r="AC124" s="94" t="str">
        <f>+F124</f>
        <v>SS8</v>
      </c>
    </row>
    <row r="125" spans="1:29" x14ac:dyDescent="0.2">
      <c r="B125" s="103">
        <v>-1</v>
      </c>
      <c r="C125" s="9"/>
      <c r="G125" s="17"/>
      <c r="H125" s="19"/>
      <c r="I125" s="19"/>
      <c r="J125" s="16"/>
      <c r="K125" s="16"/>
      <c r="L125" s="16"/>
      <c r="M125" s="8"/>
      <c r="N125" s="8"/>
      <c r="O125" s="8"/>
      <c r="P125" s="8"/>
      <c r="Q125" s="8"/>
      <c r="R125" s="8"/>
      <c r="S125" s="50">
        <v>0</v>
      </c>
      <c r="T125" s="17"/>
      <c r="U125" s="17"/>
      <c r="V125" s="8"/>
      <c r="W125" s="17"/>
      <c r="X125" s="17"/>
      <c r="Y125" s="17"/>
      <c r="Z125" s="17"/>
      <c r="AA125" s="17"/>
      <c r="AB125" s="19"/>
      <c r="AC125" s="67"/>
    </row>
    <row r="126" spans="1:29" x14ac:dyDescent="0.2">
      <c r="A126" s="96"/>
      <c r="B126" s="103">
        <f>IF(AND('AES Indiana Bill Calc.'!$D$17="SS",'AES Indiana Bill Calc.'!$D$18="No",'AES Indiana Bill Calc.'!$D$20="Yes 2018"),'AES Indiana Bill Calc.'!$D$19,-1)</f>
        <v>-1</v>
      </c>
      <c r="C126" s="1" t="s">
        <v>147</v>
      </c>
      <c r="F126" s="36" t="s">
        <v>166</v>
      </c>
      <c r="G126" s="17">
        <f>SUM(J126:M126,O126:P126,R126:AA126)</f>
        <v>39.880000000000003</v>
      </c>
      <c r="H126" s="19" t="e">
        <f>IF(ISBLANK(B126),0,+#REF!/B126)</f>
        <v>#REF!</v>
      </c>
      <c r="I126" s="19"/>
      <c r="J126" s="82">
        <f>IF(ISBLANK(B126),0,IF(B126&gt;J$94,+J$93,+F$93))</f>
        <v>40</v>
      </c>
      <c r="K126" s="82">
        <f>IF($B126&gt;K$94,ROUND(K$94*K$93,2),ROUND($B126*K$93,2))</f>
        <v>-0.12</v>
      </c>
      <c r="L126" s="82">
        <f>IF($B126&gt;K$94,ROUND(($B126-K$94)*L$93,2),0)</f>
        <v>0</v>
      </c>
      <c r="M126" s="41"/>
      <c r="N126" s="17">
        <f>SUM(K126:L126)</f>
        <v>-0.12</v>
      </c>
      <c r="O126" s="41"/>
      <c r="P126" s="41"/>
      <c r="Q126" s="41"/>
      <c r="R126" s="41"/>
      <c r="S126" s="42">
        <f>ROUND($B126*S$93*S125,2)</f>
        <v>0</v>
      </c>
      <c r="T126" s="42">
        <f>ROUND($B126*T$93,2)</f>
        <v>0</v>
      </c>
      <c r="U126" s="42">
        <f>ROUND($B126*U$93,2)</f>
        <v>0</v>
      </c>
      <c r="V126" s="41">
        <f>ROUND($B126*V$86,2)</f>
        <v>0</v>
      </c>
      <c r="W126" s="42">
        <f>ROUND($B126*W$93,2)</f>
        <v>0</v>
      </c>
      <c r="X126" s="42">
        <f>ROUND($B126*X$93,2)</f>
        <v>0</v>
      </c>
      <c r="Y126" s="42">
        <f>ROUND($B126*Y$93,2)</f>
        <v>0</v>
      </c>
      <c r="Z126" s="42">
        <f>ROUND($B126*Z$93,2)</f>
        <v>0</v>
      </c>
      <c r="AA126" s="42">
        <f>ROUND($B126*AA$93,2)</f>
        <v>0</v>
      </c>
      <c r="AB126" s="19" t="e">
        <f>SUM(U$93:AA$93)+(-V$93+V96)</f>
        <v>#VALUE!</v>
      </c>
      <c r="AC126" s="94" t="str">
        <f>+F126</f>
        <v>SS8</v>
      </c>
    </row>
    <row r="127" spans="1:29" x14ac:dyDescent="0.2">
      <c r="B127" s="103">
        <v>-1</v>
      </c>
      <c r="C127" s="9"/>
      <c r="G127" s="17"/>
      <c r="H127" s="19"/>
      <c r="I127" s="19"/>
      <c r="J127" s="16"/>
      <c r="K127" s="16"/>
      <c r="L127" s="16"/>
      <c r="M127" s="8"/>
      <c r="N127" s="8"/>
      <c r="O127" s="8"/>
      <c r="P127" s="8"/>
      <c r="Q127" s="8"/>
      <c r="R127" s="8"/>
      <c r="S127" s="50">
        <v>1</v>
      </c>
      <c r="T127" s="17"/>
      <c r="U127" s="17"/>
      <c r="V127" s="8"/>
      <c r="W127" s="17"/>
      <c r="X127" s="17"/>
      <c r="Y127" s="17"/>
      <c r="Z127" s="17"/>
      <c r="AA127" s="17"/>
      <c r="AB127" s="19"/>
      <c r="AC127" s="67"/>
    </row>
    <row r="128" spans="1:29" x14ac:dyDescent="0.2">
      <c r="A128" s="96"/>
      <c r="B128" s="103">
        <f>IF(AND('AES Indiana Bill Calc.'!$D$17="SS",'AES Indiana Bill Calc.'!$D$18="Yes 100%",'AES Indiana Bill Calc.'!$D$20="Yes 2019"),'AES Indiana Bill Calc.'!$D$19,-1)</f>
        <v>-1</v>
      </c>
      <c r="C128" s="1" t="s">
        <v>148</v>
      </c>
      <c r="F128" s="36" t="s">
        <v>167</v>
      </c>
      <c r="G128" s="17">
        <f>SUM(J128:M128,O128:P128,R128:AA128)</f>
        <v>39.880000000000003</v>
      </c>
      <c r="H128" s="19" t="e">
        <f>IF(ISBLANK(B128),0,+#REF!/B128)</f>
        <v>#REF!</v>
      </c>
      <c r="I128" s="19"/>
      <c r="J128" s="82">
        <f>IF(ISBLANK(B128),0,IF(B128&gt;J$94,+J$93,+F$93))</f>
        <v>40</v>
      </c>
      <c r="K128" s="82">
        <f>IF($B128&gt;K$94,ROUND(K$94*K$93,2),ROUND($B128*K$93,2))</f>
        <v>-0.12</v>
      </c>
      <c r="L128" s="82">
        <f>IF($B128&gt;K$94,ROUND(($B128-K$94)*L$93,2),0)</f>
        <v>0</v>
      </c>
      <c r="M128" s="41"/>
      <c r="N128" s="17">
        <f>SUM(K128:L128)</f>
        <v>-0.12</v>
      </c>
      <c r="O128" s="41"/>
      <c r="P128" s="41"/>
      <c r="Q128" s="41"/>
      <c r="R128" s="41"/>
      <c r="S128" s="42">
        <f>ROUND($B128*S$93*S127,2)</f>
        <v>0</v>
      </c>
      <c r="T128" s="42">
        <f>ROUND($B128*T$93,2)</f>
        <v>0</v>
      </c>
      <c r="U128" s="42">
        <f>ROUND($B128*U$93,2)</f>
        <v>0</v>
      </c>
      <c r="V128" s="41">
        <f>ROUND($B128*V$87,2)</f>
        <v>0</v>
      </c>
      <c r="W128" s="42">
        <f>ROUND($B128*W$93,2)</f>
        <v>0</v>
      </c>
      <c r="X128" s="42">
        <f>ROUND($B128*X$93,2)</f>
        <v>0</v>
      </c>
      <c r="Y128" s="42">
        <f>ROUND($B128*Y$93,2)</f>
        <v>0</v>
      </c>
      <c r="Z128" s="42">
        <f>ROUND($B128*Z$93,2)</f>
        <v>0</v>
      </c>
      <c r="AA128" s="42">
        <f>ROUND($B128*AA$93,2)</f>
        <v>0</v>
      </c>
      <c r="AB128" s="19">
        <f>SUM(U$93:AA$93)+(-V$93+V98)</f>
        <v>-6.5579999999999979E-3</v>
      </c>
      <c r="AC128" s="94" t="str">
        <f>+F128</f>
        <v>SS9</v>
      </c>
    </row>
    <row r="129" spans="1:29" x14ac:dyDescent="0.2">
      <c r="B129" s="103">
        <v>-1</v>
      </c>
      <c r="C129" s="9"/>
      <c r="G129" s="17"/>
      <c r="H129" s="19"/>
      <c r="I129" s="19"/>
      <c r="J129" s="16"/>
      <c r="K129" s="16"/>
      <c r="L129" s="16"/>
      <c r="M129" s="8"/>
      <c r="N129" s="8"/>
      <c r="O129" s="8"/>
      <c r="P129" s="8"/>
      <c r="Q129" s="8"/>
      <c r="R129" s="8"/>
      <c r="S129" s="50">
        <v>0.5</v>
      </c>
      <c r="T129" s="17"/>
      <c r="U129" s="17"/>
      <c r="V129" s="8"/>
      <c r="W129" s="17"/>
      <c r="X129" s="17"/>
      <c r="Y129" s="17"/>
      <c r="Z129" s="17"/>
      <c r="AA129" s="17"/>
      <c r="AB129" s="19"/>
      <c r="AC129" s="67"/>
    </row>
    <row r="130" spans="1:29" x14ac:dyDescent="0.2">
      <c r="A130" s="96"/>
      <c r="B130" s="103">
        <f>IF(AND('AES Indiana Bill Calc.'!$D$17="SS",'AES Indiana Bill Calc.'!$D$18="Yes 50%",'AES Indiana Bill Calc.'!$D$20="Yes 2019"),'AES Indiana Bill Calc.'!$D$19,-1)</f>
        <v>-1</v>
      </c>
      <c r="C130" s="1" t="s">
        <v>149</v>
      </c>
      <c r="F130" s="36" t="s">
        <v>167</v>
      </c>
      <c r="G130" s="17">
        <f>SUM(J130:M130,O130:P130,R130:AA130)</f>
        <v>39.880000000000003</v>
      </c>
      <c r="H130" s="19" t="e">
        <f>IF(ISBLANK(B130),0,+#REF!/B130)</f>
        <v>#REF!</v>
      </c>
      <c r="I130" s="19"/>
      <c r="J130" s="82">
        <f>IF(ISBLANK(B130),0,IF(B130&gt;J$94,+J$93,+F$93))</f>
        <v>40</v>
      </c>
      <c r="K130" s="82">
        <f>IF($B130&gt;K$94,ROUND(K$94*K$93,2),ROUND($B130*K$93,2))</f>
        <v>-0.12</v>
      </c>
      <c r="L130" s="82">
        <f>IF($B130&gt;K$94,ROUND(($B130-K$94)*L$93,2),0)</f>
        <v>0</v>
      </c>
      <c r="M130" s="41"/>
      <c r="N130" s="17">
        <f>SUM(K130:L130)</f>
        <v>-0.12</v>
      </c>
      <c r="O130" s="41"/>
      <c r="P130" s="41"/>
      <c r="Q130" s="41"/>
      <c r="R130" s="41"/>
      <c r="S130" s="42">
        <f>ROUND($B130*S$93*S129,2)</f>
        <v>0</v>
      </c>
      <c r="T130" s="42">
        <f>ROUND($B130*T$93,2)</f>
        <v>0</v>
      </c>
      <c r="U130" s="42">
        <f>ROUND($B130*U$93,2)</f>
        <v>0</v>
      </c>
      <c r="V130" s="41">
        <f>ROUND($B130*V$87,2)</f>
        <v>0</v>
      </c>
      <c r="W130" s="42">
        <f>ROUND($B130*W$93,2)</f>
        <v>0</v>
      </c>
      <c r="X130" s="42">
        <f>ROUND($B130*X$93,2)</f>
        <v>0</v>
      </c>
      <c r="Y130" s="42">
        <f>ROUND($B130*Y$93,2)</f>
        <v>0</v>
      </c>
      <c r="Z130" s="42">
        <f>ROUND($B130*Z$93,2)</f>
        <v>0</v>
      </c>
      <c r="AA130" s="42">
        <f>ROUND($B130*AA$93,2)</f>
        <v>0</v>
      </c>
      <c r="AB130" s="19">
        <f>SUM(U$93:AA$93)+(-V$93+V100)</f>
        <v>-6.5579999999999979E-3</v>
      </c>
      <c r="AC130" s="94" t="str">
        <f>+F130</f>
        <v>SS9</v>
      </c>
    </row>
    <row r="131" spans="1:29" x14ac:dyDescent="0.2">
      <c r="B131" s="103">
        <v>-1</v>
      </c>
      <c r="C131" s="9"/>
      <c r="G131" s="17"/>
      <c r="H131" s="19"/>
      <c r="I131" s="19"/>
      <c r="J131" s="16"/>
      <c r="K131" s="16"/>
      <c r="L131" s="16"/>
      <c r="M131" s="8"/>
      <c r="N131" s="8"/>
      <c r="O131" s="8"/>
      <c r="P131" s="8"/>
      <c r="Q131" s="8"/>
      <c r="R131" s="8"/>
      <c r="S131" s="50">
        <v>0.25</v>
      </c>
      <c r="T131" s="17"/>
      <c r="U131" s="17"/>
      <c r="V131" s="8"/>
      <c r="W131" s="17"/>
      <c r="X131" s="17"/>
      <c r="Y131" s="17"/>
      <c r="Z131" s="17"/>
      <c r="AA131" s="17"/>
      <c r="AB131" s="19"/>
      <c r="AC131" s="67"/>
    </row>
    <row r="132" spans="1:29" x14ac:dyDescent="0.2">
      <c r="A132" s="96"/>
      <c r="B132" s="103">
        <f>IF(AND('AES Indiana Bill Calc.'!$D$17="SS",'AES Indiana Bill Calc.'!$D$18="Yes 25%",'AES Indiana Bill Calc.'!$D$20="Yes 2019"),'AES Indiana Bill Calc.'!$D$19,-1)</f>
        <v>-1</v>
      </c>
      <c r="C132" s="1" t="s">
        <v>150</v>
      </c>
      <c r="F132" s="36" t="s">
        <v>167</v>
      </c>
      <c r="G132" s="17">
        <f>SUM(J132:M132,O132:P132,R132:AA132)</f>
        <v>39.880000000000003</v>
      </c>
      <c r="H132" s="19" t="e">
        <f>IF(ISBLANK(B132),0,+#REF!/B132)</f>
        <v>#REF!</v>
      </c>
      <c r="I132" s="19"/>
      <c r="J132" s="82">
        <f>IF(ISBLANK(B132),0,IF(B132&gt;J$94,+J$93,+F$93))</f>
        <v>40</v>
      </c>
      <c r="K132" s="82">
        <f>IF($B132&gt;K$94,ROUND(K$94*K$93,2),ROUND($B132*K$93,2))</f>
        <v>-0.12</v>
      </c>
      <c r="L132" s="82">
        <f>IF($B132&gt;K$94,ROUND(($B132-K$94)*L$93,2),0)</f>
        <v>0</v>
      </c>
      <c r="M132" s="41"/>
      <c r="N132" s="17">
        <f>SUM(K132:L132)</f>
        <v>-0.12</v>
      </c>
      <c r="O132" s="41"/>
      <c r="P132" s="41"/>
      <c r="Q132" s="41"/>
      <c r="R132" s="41"/>
      <c r="S132" s="42">
        <f>ROUND($B132*S$93*S131,2)</f>
        <v>0</v>
      </c>
      <c r="T132" s="42">
        <f>ROUND($B132*T$93,2)</f>
        <v>0</v>
      </c>
      <c r="U132" s="42">
        <f>ROUND($B132*U$93,2)</f>
        <v>0</v>
      </c>
      <c r="V132" s="41">
        <f>ROUND($B132*V$87,2)</f>
        <v>0</v>
      </c>
      <c r="W132" s="42">
        <f>ROUND($B132*W$93,2)</f>
        <v>0</v>
      </c>
      <c r="X132" s="42">
        <f>ROUND($B132*X$93,2)</f>
        <v>0</v>
      </c>
      <c r="Y132" s="42">
        <f>ROUND($B132*Y$93,2)</f>
        <v>0</v>
      </c>
      <c r="Z132" s="42">
        <f>ROUND($B132*Z$93,2)</f>
        <v>0</v>
      </c>
      <c r="AA132" s="42">
        <f>ROUND($B132*AA$93,2)</f>
        <v>0</v>
      </c>
      <c r="AB132" s="19">
        <f>SUM(U$93:AA$93)+(-V$93+V102)</f>
        <v>-6.5579999999999979E-3</v>
      </c>
      <c r="AC132" s="94" t="str">
        <f>+F132</f>
        <v>SS9</v>
      </c>
    </row>
    <row r="133" spans="1:29" x14ac:dyDescent="0.2">
      <c r="B133" s="103">
        <v>-1</v>
      </c>
      <c r="C133" s="9"/>
      <c r="G133" s="17"/>
      <c r="H133" s="19"/>
      <c r="I133" s="19"/>
      <c r="J133" s="16"/>
      <c r="K133" s="16"/>
      <c r="L133" s="16"/>
      <c r="M133" s="8"/>
      <c r="N133" s="8"/>
      <c r="O133" s="8"/>
      <c r="P133" s="8"/>
      <c r="Q133" s="8"/>
      <c r="R133" s="8"/>
      <c r="S133" s="50">
        <v>0.1</v>
      </c>
      <c r="T133" s="17"/>
      <c r="U133" s="17"/>
      <c r="V133" s="8"/>
      <c r="W133" s="17"/>
      <c r="X133" s="17"/>
      <c r="Y133" s="17"/>
      <c r="Z133" s="17"/>
      <c r="AA133" s="17"/>
      <c r="AB133" s="19"/>
      <c r="AC133" s="67"/>
    </row>
    <row r="134" spans="1:29" x14ac:dyDescent="0.2">
      <c r="A134" s="96"/>
      <c r="B134" s="103">
        <f>IF(AND('AES Indiana Bill Calc.'!$D$17="SS",'AES Indiana Bill Calc.'!$D$18="Yes 10%",'AES Indiana Bill Calc.'!$D$20="Yes 2019"),'AES Indiana Bill Calc.'!$D$19,-1)</f>
        <v>-1</v>
      </c>
      <c r="C134" s="1" t="s">
        <v>164</v>
      </c>
      <c r="F134" s="36" t="s">
        <v>167</v>
      </c>
      <c r="G134" s="17">
        <f>SUM(J134:M134,O134:P134,R134:AA134)</f>
        <v>39.880000000000003</v>
      </c>
      <c r="H134" s="19" t="e">
        <f>IF(ISBLANK(B134),0,+#REF!/B134)</f>
        <v>#REF!</v>
      </c>
      <c r="I134" s="19"/>
      <c r="J134" s="82">
        <f>IF(ISBLANK(B134),0,IF(B134&gt;J$94,+J$93,+F$93))</f>
        <v>40</v>
      </c>
      <c r="K134" s="82">
        <f>IF($B134&gt;K$94,ROUND(K$94*K$93,2),ROUND($B134*K$93,2))</f>
        <v>-0.12</v>
      </c>
      <c r="L134" s="82">
        <f>IF($B134&gt;K$94,ROUND(($B134-K$94)*L$93,2),0)</f>
        <v>0</v>
      </c>
      <c r="M134" s="41"/>
      <c r="N134" s="17">
        <f>SUM(K134:L134)</f>
        <v>-0.12</v>
      </c>
      <c r="O134" s="41"/>
      <c r="P134" s="41"/>
      <c r="Q134" s="41"/>
      <c r="R134" s="41"/>
      <c r="S134" s="42">
        <f>ROUND($B134*S$93*S133,2)</f>
        <v>0</v>
      </c>
      <c r="T134" s="42">
        <f>ROUND($B134*T$93,2)</f>
        <v>0</v>
      </c>
      <c r="U134" s="42">
        <f>ROUND($B134*U$93,2)</f>
        <v>0</v>
      </c>
      <c r="V134" s="41">
        <f>ROUND($B134*V$87,2)</f>
        <v>0</v>
      </c>
      <c r="W134" s="42">
        <f>ROUND($B134*W$93,2)</f>
        <v>0</v>
      </c>
      <c r="X134" s="42">
        <f>ROUND($B134*X$93,2)</f>
        <v>0</v>
      </c>
      <c r="Y134" s="42">
        <f>ROUND($B134*Y$93,2)</f>
        <v>0</v>
      </c>
      <c r="Z134" s="42">
        <f>ROUND($B134*Z$93,2)</f>
        <v>0</v>
      </c>
      <c r="AA134" s="42">
        <f>ROUND($B134*AA$93,2)</f>
        <v>0</v>
      </c>
      <c r="AB134" s="19">
        <f>SUM(U$93:AA$93)+(-V$93+V104)</f>
        <v>-6.5579999999999979E-3</v>
      </c>
      <c r="AC134" s="94" t="str">
        <f>+F134</f>
        <v>SS9</v>
      </c>
    </row>
    <row r="135" spans="1:29" x14ac:dyDescent="0.2">
      <c r="B135" s="2">
        <v>-1</v>
      </c>
      <c r="G135" s="17"/>
      <c r="H135" s="19"/>
      <c r="I135" s="19"/>
      <c r="J135" s="16"/>
      <c r="K135" s="16"/>
      <c r="L135" s="16"/>
      <c r="M135" s="8"/>
      <c r="N135" s="8"/>
      <c r="O135" s="8"/>
      <c r="P135" s="8"/>
      <c r="Q135" s="8"/>
      <c r="R135" s="8"/>
      <c r="S135" s="50">
        <v>0</v>
      </c>
      <c r="T135" s="17"/>
      <c r="U135" s="17"/>
      <c r="V135" s="8"/>
      <c r="W135" s="17"/>
      <c r="X135" s="17"/>
      <c r="Y135" s="17"/>
      <c r="Z135" s="17"/>
      <c r="AA135" s="17"/>
      <c r="AB135" s="19"/>
      <c r="AC135" s="67"/>
    </row>
    <row r="136" spans="1:29" x14ac:dyDescent="0.2">
      <c r="B136" s="103">
        <f>IF(AND('AES Indiana Bill Calc.'!$D$17="SS",'AES Indiana Bill Calc.'!$D$18="No",'AES Indiana Bill Calc.'!$D$20="Yes 2019"),'AES Indiana Bill Calc.'!$D$19,-1)</f>
        <v>-1</v>
      </c>
      <c r="C136" s="1" t="s">
        <v>147</v>
      </c>
      <c r="F136" s="36" t="s">
        <v>167</v>
      </c>
      <c r="G136" s="17">
        <f>SUM(J136:M136,O136:P136,R136:AA136)</f>
        <v>39.880000000000003</v>
      </c>
      <c r="H136" s="19" t="e">
        <f>IF(ISBLANK(B136),0,+#REF!/B136)</f>
        <v>#REF!</v>
      </c>
      <c r="I136" s="19"/>
      <c r="J136" s="82">
        <f>IF(ISBLANK(B136),0,IF(B136&gt;J$94,+J$93,+F$93))</f>
        <v>40</v>
      </c>
      <c r="K136" s="82">
        <f>IF($B136&gt;K$94,ROUND(K$94*K$93,2),ROUND($B136*K$93,2))</f>
        <v>-0.12</v>
      </c>
      <c r="L136" s="82">
        <f>IF($B136&gt;K$94,ROUND(($B136-K$94)*L$93,2),0)</f>
        <v>0</v>
      </c>
      <c r="M136" s="41"/>
      <c r="N136" s="17">
        <f>SUM(K136:L136)</f>
        <v>-0.12</v>
      </c>
      <c r="O136" s="41"/>
      <c r="P136" s="41"/>
      <c r="Q136" s="41"/>
      <c r="R136" s="41"/>
      <c r="S136" s="42">
        <f>ROUND($B136*S$93*S135,2)</f>
        <v>0</v>
      </c>
      <c r="T136" s="42">
        <f>ROUND($B136*T$93,2)</f>
        <v>0</v>
      </c>
      <c r="U136" s="42">
        <f>ROUND($B136*U$93,2)</f>
        <v>0</v>
      </c>
      <c r="V136" s="41">
        <f>ROUND($B136*V$87,2)</f>
        <v>0</v>
      </c>
      <c r="W136" s="42">
        <f>ROUND($B136*W$93,2)</f>
        <v>0</v>
      </c>
      <c r="X136" s="42">
        <f>ROUND($B136*X$93,2)</f>
        <v>0</v>
      </c>
      <c r="Y136" s="42">
        <f>ROUND($B136*Y$93,2)</f>
        <v>0</v>
      </c>
      <c r="Z136" s="42">
        <f>ROUND($B136*Z$93,2)</f>
        <v>0</v>
      </c>
      <c r="AA136" s="42">
        <f>ROUND($B136*AA$93,2)</f>
        <v>0</v>
      </c>
      <c r="AB136" s="19">
        <f>SUM(U$93:AA$93)+(-V$93+V98)</f>
        <v>-6.5579999999999979E-3</v>
      </c>
      <c r="AC136" s="94" t="str">
        <f>+F136</f>
        <v>SS9</v>
      </c>
    </row>
    <row r="137" spans="1:29" x14ac:dyDescent="0.2">
      <c r="B137" s="103">
        <v>-1</v>
      </c>
      <c r="C137" s="9"/>
      <c r="F137" s="36"/>
      <c r="S137" s="50">
        <v>1</v>
      </c>
    </row>
    <row r="138" spans="1:29" x14ac:dyDescent="0.2">
      <c r="B138" s="103">
        <f>IF(AND('AES Indiana Bill Calc.'!$D$17="SS",'AES Indiana Bill Calc.'!$D$18="Yes 100%",'AES Indiana Bill Calc.'!$D$20="Yes 2020"),'AES Indiana Bill Calc.'!$D$19,-1)</f>
        <v>-1</v>
      </c>
      <c r="C138" s="1" t="s">
        <v>148</v>
      </c>
      <c r="F138" s="36" t="s">
        <v>168</v>
      </c>
      <c r="G138" s="17">
        <f>SUM(J138:M138,O138:P138,R138:AA138)</f>
        <v>39.880000000000003</v>
      </c>
      <c r="H138" s="19" t="e">
        <f>IF(ISBLANK(B138),0,+#REF!/B138)</f>
        <v>#REF!</v>
      </c>
      <c r="I138" s="19"/>
      <c r="J138" s="82">
        <f>IF(ISBLANK(B138),0,IF(B138&gt;J$94,+J$93,+F$93))</f>
        <v>40</v>
      </c>
      <c r="K138" s="82">
        <f>IF($B138&gt;K$94,ROUND(K$94*K$93,2),ROUND($B138*K$93,2))</f>
        <v>-0.12</v>
      </c>
      <c r="L138" s="82">
        <f>IF($B138&gt;K$94,ROUND(($B138-K$94)*L$93,2),0)</f>
        <v>0</v>
      </c>
      <c r="M138" s="41"/>
      <c r="N138" s="17">
        <f>SUM(K138:L138)</f>
        <v>-0.12</v>
      </c>
      <c r="O138" s="41"/>
      <c r="P138" s="41"/>
      <c r="Q138" s="41"/>
      <c r="R138" s="41"/>
      <c r="S138" s="42">
        <f>ROUND($B138*S$93*S137,2)</f>
        <v>0</v>
      </c>
      <c r="T138" s="42">
        <f>ROUND($B138*T$93,2)</f>
        <v>0</v>
      </c>
      <c r="U138" s="42">
        <f>ROUND($B138*U$93,2)</f>
        <v>0</v>
      </c>
      <c r="V138" s="41">
        <f>ROUND($B138*V$88,2)</f>
        <v>0</v>
      </c>
      <c r="W138" s="42">
        <f>ROUND($B138*W$93,2)</f>
        <v>0</v>
      </c>
      <c r="X138" s="42">
        <f>ROUND($B138*X$93,2)</f>
        <v>0</v>
      </c>
      <c r="Y138" s="42">
        <f>ROUND($B138*Y$93,2)</f>
        <v>0</v>
      </c>
      <c r="Z138" s="42">
        <f>ROUND($B138*Z$93,2)</f>
        <v>0</v>
      </c>
      <c r="AA138" s="42">
        <f>ROUND($B138*AA$93,2)</f>
        <v>0</v>
      </c>
      <c r="AB138" s="19">
        <f>SUM(U$93:AA$93)+(-V$93+V98)</f>
        <v>-6.5579999999999979E-3</v>
      </c>
      <c r="AC138" s="94" t="str">
        <f>+F138</f>
        <v>SS0</v>
      </c>
    </row>
    <row r="139" spans="1:29" x14ac:dyDescent="0.2">
      <c r="B139" s="103">
        <v>-1</v>
      </c>
      <c r="C139" s="9"/>
      <c r="F139" s="36"/>
      <c r="S139" s="50">
        <v>0.5</v>
      </c>
    </row>
    <row r="140" spans="1:29" x14ac:dyDescent="0.2">
      <c r="B140" s="103">
        <f>IF(AND('AES Indiana Bill Calc.'!$D$17="SS",'AES Indiana Bill Calc.'!$D$18="Yes 50%",'AES Indiana Bill Calc.'!$D$20="Yes 2020"),'AES Indiana Bill Calc.'!$D$19,-1)</f>
        <v>-1</v>
      </c>
      <c r="C140" s="1" t="s">
        <v>149</v>
      </c>
      <c r="F140" s="36" t="s">
        <v>168</v>
      </c>
      <c r="G140" s="17">
        <f>SUM(J140:M140,O140:P140,R140:AA140)</f>
        <v>39.880000000000003</v>
      </c>
      <c r="H140" s="19" t="e">
        <f>IF(ISBLANK(B140),0,+#REF!/B140)</f>
        <v>#REF!</v>
      </c>
      <c r="I140" s="19"/>
      <c r="J140" s="82">
        <f>IF(ISBLANK(B140),0,IF(B140&gt;J$94,+J$93,+F$93))</f>
        <v>40</v>
      </c>
      <c r="K140" s="82">
        <f>IF($B140&gt;K$94,ROUND(K$94*K$93,2),ROUND($B140*K$93,2))</f>
        <v>-0.12</v>
      </c>
      <c r="L140" s="82">
        <f>IF($B140&gt;K$94,ROUND(($B140-K$94)*L$93,2),0)</f>
        <v>0</v>
      </c>
      <c r="M140" s="41"/>
      <c r="N140" s="17">
        <f>SUM(K140:L140)</f>
        <v>-0.12</v>
      </c>
      <c r="O140" s="41"/>
      <c r="P140" s="41"/>
      <c r="Q140" s="41"/>
      <c r="R140" s="41"/>
      <c r="S140" s="42">
        <f>ROUND($B140*S$93*S139,2)</f>
        <v>0</v>
      </c>
      <c r="T140" s="42">
        <f>ROUND($B140*T$93,2)</f>
        <v>0</v>
      </c>
      <c r="U140" s="42">
        <f>ROUND($B140*U$93,2)</f>
        <v>0</v>
      </c>
      <c r="V140" s="41">
        <f>ROUND($B140*V$88,2)</f>
        <v>0</v>
      </c>
      <c r="W140" s="42">
        <f>ROUND($B140*W$93,2)</f>
        <v>0</v>
      </c>
      <c r="X140" s="42">
        <f>ROUND($B140*X$93,2)</f>
        <v>0</v>
      </c>
      <c r="Y140" s="42">
        <f>ROUND($B140*Y$93,2)</f>
        <v>0</v>
      </c>
      <c r="Z140" s="42">
        <f>ROUND($B140*Z$93,2)</f>
        <v>0</v>
      </c>
      <c r="AA140" s="42">
        <f>ROUND($B140*AA$93,2)</f>
        <v>0</v>
      </c>
      <c r="AB140" s="19">
        <f>SUM(U$93:AA$93)+(-V$93+V100)</f>
        <v>-6.5579999999999979E-3</v>
      </c>
      <c r="AC140" s="94" t="str">
        <f>+F140</f>
        <v>SS0</v>
      </c>
    </row>
    <row r="141" spans="1:29" x14ac:dyDescent="0.2">
      <c r="B141" s="103">
        <v>-1</v>
      </c>
      <c r="C141" s="9"/>
      <c r="F141" s="36"/>
      <c r="S141" s="50">
        <v>0.25</v>
      </c>
    </row>
    <row r="142" spans="1:29" x14ac:dyDescent="0.2">
      <c r="B142" s="103">
        <f>IF(AND('AES Indiana Bill Calc.'!$D$17="SS",'AES Indiana Bill Calc.'!$D$18="Yes 25%",'AES Indiana Bill Calc.'!$D$20="Yes 2020"),'AES Indiana Bill Calc.'!$D$19,-1)</f>
        <v>-1</v>
      </c>
      <c r="C142" s="1" t="s">
        <v>150</v>
      </c>
      <c r="F142" s="36" t="s">
        <v>168</v>
      </c>
      <c r="G142" s="17">
        <f>SUM(J142:M142,O142:P142,R142:AA142)</f>
        <v>39.880000000000003</v>
      </c>
      <c r="H142" s="19" t="e">
        <f>IF(ISBLANK(B142),0,+#REF!/B142)</f>
        <v>#REF!</v>
      </c>
      <c r="I142" s="19"/>
      <c r="J142" s="82">
        <f>IF(ISBLANK(B142),0,IF(B142&gt;J$94,+J$93,+F$93))</f>
        <v>40</v>
      </c>
      <c r="K142" s="82">
        <f>IF($B142&gt;K$94,ROUND(K$94*K$93,2),ROUND($B142*K$93,2))</f>
        <v>-0.12</v>
      </c>
      <c r="L142" s="82">
        <f>IF($B142&gt;K$94,ROUND(($B142-K$94)*L$93,2),0)</f>
        <v>0</v>
      </c>
      <c r="M142" s="41"/>
      <c r="N142" s="17">
        <f>SUM(K142:L142)</f>
        <v>-0.12</v>
      </c>
      <c r="O142" s="41"/>
      <c r="P142" s="41"/>
      <c r="Q142" s="41"/>
      <c r="R142" s="41"/>
      <c r="S142" s="42">
        <f>ROUND($B142*S$93*S141,2)</f>
        <v>0</v>
      </c>
      <c r="T142" s="42">
        <f>ROUND($B142*T$93,2)</f>
        <v>0</v>
      </c>
      <c r="U142" s="42">
        <f>ROUND($B142*U$93,2)</f>
        <v>0</v>
      </c>
      <c r="V142" s="41">
        <f>ROUND($B142*V$88,2)</f>
        <v>0</v>
      </c>
      <c r="W142" s="42">
        <f>ROUND($B142*W$93,2)</f>
        <v>0</v>
      </c>
      <c r="X142" s="42">
        <f>ROUND($B142*X$93,2)</f>
        <v>0</v>
      </c>
      <c r="Y142" s="42">
        <f>ROUND($B142*Y$93,2)</f>
        <v>0</v>
      </c>
      <c r="Z142" s="42">
        <f>ROUND($B142*Z$93,2)</f>
        <v>0</v>
      </c>
      <c r="AA142" s="42">
        <f>ROUND($B142*AA$93,2)</f>
        <v>0</v>
      </c>
      <c r="AB142" s="19">
        <f>SUM(U$93:AA$93)+(-V$93+V102)</f>
        <v>-6.5579999999999979E-3</v>
      </c>
      <c r="AC142" s="94" t="str">
        <f>+F142</f>
        <v>SS0</v>
      </c>
    </row>
    <row r="143" spans="1:29" x14ac:dyDescent="0.2">
      <c r="B143" s="103">
        <v>-1</v>
      </c>
      <c r="C143" s="9"/>
      <c r="F143" s="36"/>
      <c r="S143" s="50">
        <v>0.1</v>
      </c>
    </row>
    <row r="144" spans="1:29" x14ac:dyDescent="0.2">
      <c r="B144" s="103">
        <f>IF(AND('AES Indiana Bill Calc.'!$D$17="SS",'AES Indiana Bill Calc.'!$D$18="Yes 10%",'AES Indiana Bill Calc.'!$D$20="Yes 2020"),'AES Indiana Bill Calc.'!$D$19,-1)</f>
        <v>-1</v>
      </c>
      <c r="C144" s="1" t="s">
        <v>164</v>
      </c>
      <c r="F144" s="36" t="s">
        <v>168</v>
      </c>
      <c r="G144" s="17">
        <f>SUM(J144:M144,O144:P144,R144:AA144)</f>
        <v>39.880000000000003</v>
      </c>
      <c r="H144" s="19" t="e">
        <f>IF(ISBLANK(B144),0,+#REF!/B144)</f>
        <v>#REF!</v>
      </c>
      <c r="I144" s="19"/>
      <c r="J144" s="82">
        <f>IF(ISBLANK(B144),0,IF(B144&gt;J$94,+J$93,+F$93))</f>
        <v>40</v>
      </c>
      <c r="K144" s="82">
        <f>IF($B144&gt;K$94,ROUND(K$94*K$93,2),ROUND($B144*K$93,2))</f>
        <v>-0.12</v>
      </c>
      <c r="L144" s="82">
        <f>IF($B144&gt;K$94,ROUND(($B144-K$94)*L$93,2),0)</f>
        <v>0</v>
      </c>
      <c r="M144" s="41"/>
      <c r="N144" s="17">
        <f>SUM(K144:L144)</f>
        <v>-0.12</v>
      </c>
      <c r="O144" s="41"/>
      <c r="P144" s="41"/>
      <c r="Q144" s="41"/>
      <c r="R144" s="41"/>
      <c r="S144" s="42">
        <f>ROUND($B144*S$93*S143,2)</f>
        <v>0</v>
      </c>
      <c r="T144" s="42">
        <f>ROUND($B144*T$93,2)</f>
        <v>0</v>
      </c>
      <c r="U144" s="42">
        <f>ROUND($B144*U$93,2)</f>
        <v>0</v>
      </c>
      <c r="V144" s="41">
        <f>ROUND($B144*V$88,2)</f>
        <v>0</v>
      </c>
      <c r="W144" s="42">
        <f>ROUND($B144*W$93,2)</f>
        <v>0</v>
      </c>
      <c r="X144" s="42">
        <f>ROUND($B144*X$93,2)</f>
        <v>0</v>
      </c>
      <c r="Y144" s="42">
        <f>ROUND($B144*Y$93,2)</f>
        <v>0</v>
      </c>
      <c r="Z144" s="42">
        <f>ROUND($B144*Z$93,2)</f>
        <v>0</v>
      </c>
      <c r="AA144" s="42">
        <f>ROUND($B144*AA$93,2)</f>
        <v>0</v>
      </c>
      <c r="AB144" s="19">
        <f>SUM(U$93:AA$93)+(-V$93+V104)</f>
        <v>-6.5579999999999979E-3</v>
      </c>
      <c r="AC144" s="94" t="str">
        <f>+F144</f>
        <v>SS0</v>
      </c>
    </row>
    <row r="145" spans="2:123" x14ac:dyDescent="0.2">
      <c r="B145" s="103">
        <v>-1</v>
      </c>
      <c r="F145" s="36"/>
      <c r="S145" s="50">
        <v>0</v>
      </c>
    </row>
    <row r="146" spans="2:123" x14ac:dyDescent="0.2">
      <c r="B146" s="103">
        <f>IF(AND('AES Indiana Bill Calc.'!$D$17="SS",'AES Indiana Bill Calc.'!$D$18="No",'AES Indiana Bill Calc.'!$D$20="Yes 2020"),'AES Indiana Bill Calc.'!$D$19,-1)</f>
        <v>-1</v>
      </c>
      <c r="C146" s="1" t="s">
        <v>147</v>
      </c>
      <c r="F146" s="36" t="s">
        <v>168</v>
      </c>
      <c r="G146" s="17">
        <f>SUM(J146:M146,O146:P146,R146:AA146)</f>
        <v>39.880000000000003</v>
      </c>
      <c r="H146" s="19" t="e">
        <f>IF(ISBLANK(B146),0,+#REF!/B146)</f>
        <v>#REF!</v>
      </c>
      <c r="I146" s="19"/>
      <c r="J146" s="82">
        <f>IF(ISBLANK(B146),0,IF(B146&gt;J$94,+J$93,+F$93))</f>
        <v>40</v>
      </c>
      <c r="K146" s="82">
        <f>IF($B146&gt;K$94,ROUND(K$94*K$93,2),ROUND($B146*K$93,2))</f>
        <v>-0.12</v>
      </c>
      <c r="L146" s="82">
        <f>IF($B146&gt;K$94,ROUND(($B146-K$94)*L$93,2),0)</f>
        <v>0</v>
      </c>
      <c r="M146" s="41"/>
      <c r="N146" s="17">
        <f>SUM(K146:L146)</f>
        <v>-0.12</v>
      </c>
      <c r="O146" s="41"/>
      <c r="P146" s="41"/>
      <c r="Q146" s="41"/>
      <c r="R146" s="41"/>
      <c r="S146" s="42">
        <f>ROUND($B146*S$93*S145,2)</f>
        <v>0</v>
      </c>
      <c r="T146" s="42">
        <f>ROUND($B146*T$93,2)</f>
        <v>0</v>
      </c>
      <c r="U146" s="42">
        <f>ROUND($B146*U$93,2)</f>
        <v>0</v>
      </c>
      <c r="V146" s="41">
        <f>ROUND($B146*V$88,2)</f>
        <v>0</v>
      </c>
      <c r="W146" s="42">
        <f>ROUND($B146*W$93,2)</f>
        <v>0</v>
      </c>
      <c r="X146" s="42">
        <f>ROUND($B146*X$93,2)</f>
        <v>0</v>
      </c>
      <c r="Y146" s="42">
        <f>ROUND($B146*Y$93,2)</f>
        <v>0</v>
      </c>
      <c r="Z146" s="42">
        <f>ROUND($B146*Z$93,2)</f>
        <v>0</v>
      </c>
      <c r="AA146" s="42">
        <f>ROUND($B146*AA$93,2)</f>
        <v>0</v>
      </c>
      <c r="AB146" s="19">
        <f>SUM(U$93:AA$93)+(-V$93+V106)</f>
        <v>-6.5579999999999979E-3</v>
      </c>
      <c r="AC146" s="94" t="str">
        <f>+F146</f>
        <v>SS0</v>
      </c>
    </row>
    <row r="147" spans="2:123" x14ac:dyDescent="0.2">
      <c r="B147" s="97">
        <v>-1</v>
      </c>
      <c r="C147" s="80"/>
      <c r="F147" s="36"/>
      <c r="G147" s="42"/>
      <c r="H147" s="19"/>
      <c r="I147" s="19"/>
      <c r="J147" s="82"/>
      <c r="K147" s="82"/>
      <c r="L147" s="82"/>
      <c r="M147" s="41"/>
      <c r="N147" s="41"/>
      <c r="O147" s="41"/>
      <c r="P147" s="41"/>
      <c r="Q147" s="41"/>
      <c r="R147" s="41"/>
      <c r="S147" s="50">
        <v>1</v>
      </c>
      <c r="T147" s="42"/>
      <c r="U147" s="42"/>
      <c r="V147" s="41"/>
      <c r="W147" s="42"/>
      <c r="X147" s="42"/>
      <c r="Y147" s="42"/>
      <c r="Z147" s="42"/>
      <c r="AA147" s="42"/>
      <c r="AB147" s="19"/>
      <c r="AC147" s="94"/>
    </row>
    <row r="148" spans="2:123" x14ac:dyDescent="0.2">
      <c r="B148" s="103">
        <f>IF(AND('AES Indiana Bill Calc.'!$D$17="SS",'AES Indiana Bill Calc.'!$D$18="Yes 100%",'AES Indiana Bill Calc.'!$D$20="Yes 2021"),'AES Indiana Bill Calc.'!$D$19,-1)</f>
        <v>-1</v>
      </c>
      <c r="C148" s="1" t="s">
        <v>148</v>
      </c>
      <c r="D148" s="148"/>
      <c r="F148" s="36" t="s">
        <v>169</v>
      </c>
      <c r="G148" s="42">
        <f>SUM(J148:M148,O148:P148,R148:AA148)</f>
        <v>39.880000000000003</v>
      </c>
      <c r="H148" s="19" t="e">
        <f>IF(ISBLANK(B148),0,+#REF!/B148)</f>
        <v>#REF!</v>
      </c>
      <c r="I148" s="148"/>
      <c r="J148" s="82">
        <f>IF(ISBLANK(B148),0,IF(B148&gt;J$94,+J$93,+F$93))</f>
        <v>40</v>
      </c>
      <c r="K148" s="82">
        <f>IF($B148&gt;K$94,ROUND(K$94*K$93,2),ROUND($B148*K$93,2))</f>
        <v>-0.12</v>
      </c>
      <c r="L148" s="82">
        <f>IF($B148&gt;K$94,ROUND(($B148-K$94)*L$93,2),0)</f>
        <v>0</v>
      </c>
      <c r="M148" s="148"/>
      <c r="N148" s="42">
        <f>SUM(K148:L148)</f>
        <v>-0.12</v>
      </c>
      <c r="O148" s="148"/>
      <c r="P148" s="148"/>
      <c r="Q148" s="148"/>
      <c r="S148" s="42">
        <f>ROUND($B148*S$93*S147,2)</f>
        <v>0</v>
      </c>
      <c r="T148" s="42">
        <f>ROUND($B148*T$93,2)</f>
        <v>0</v>
      </c>
      <c r="U148" s="42">
        <f>ROUND($B148*U$93,2)</f>
        <v>0</v>
      </c>
      <c r="V148" s="41">
        <f>ROUND($B148*V$89,2)</f>
        <v>0</v>
      </c>
      <c r="W148" s="148"/>
      <c r="X148" s="42">
        <f>ROUND($B148*X$93,2)</f>
        <v>0</v>
      </c>
      <c r="Y148" s="42">
        <f>ROUND($B148*Y$93,2)</f>
        <v>0</v>
      </c>
      <c r="Z148" s="42">
        <f>ROUND($B148*Z$93,2)</f>
        <v>0</v>
      </c>
      <c r="AA148" s="42">
        <f>ROUND($B148*AA$93,2)</f>
        <v>0</v>
      </c>
      <c r="AB148" s="19">
        <f>SUM(U$93:AA$93)+(-V$93+V110)</f>
        <v>3.4420000000000006E-3</v>
      </c>
      <c r="AC148" s="148"/>
    </row>
    <row r="149" spans="2:123" x14ac:dyDescent="0.2">
      <c r="B149" s="97">
        <v>-1</v>
      </c>
      <c r="C149" s="9"/>
      <c r="F149" s="36"/>
      <c r="G149" s="42"/>
      <c r="H149" s="19"/>
      <c r="I149" s="19"/>
      <c r="J149" s="82"/>
      <c r="K149" s="82"/>
      <c r="L149" s="82"/>
      <c r="M149" s="41"/>
      <c r="N149" s="41"/>
      <c r="O149" s="41"/>
      <c r="P149" s="41"/>
      <c r="Q149" s="41"/>
      <c r="R149" s="41"/>
      <c r="S149" s="50">
        <v>0.5</v>
      </c>
      <c r="T149" s="42"/>
      <c r="U149" s="42"/>
      <c r="V149" s="41"/>
      <c r="W149" s="42"/>
      <c r="X149" s="42"/>
      <c r="Y149" s="42"/>
      <c r="Z149" s="42"/>
      <c r="AA149" s="42"/>
      <c r="AB149" s="19"/>
      <c r="AC149" s="94"/>
    </row>
    <row r="150" spans="2:123" x14ac:dyDescent="0.2">
      <c r="B150" s="103">
        <f>IF(AND('AES Indiana Bill Calc.'!$D$17="SS",'AES Indiana Bill Calc.'!$D$18="Yes 50%",'AES Indiana Bill Calc.'!$D$20="Yes 2021"),'AES Indiana Bill Calc.'!$D$19,-1)</f>
        <v>-1</v>
      </c>
      <c r="C150" s="1" t="s">
        <v>149</v>
      </c>
      <c r="D150" s="148"/>
      <c r="F150" s="36" t="s">
        <v>169</v>
      </c>
      <c r="G150" s="42">
        <f>SUM(J150:M150,O150:P150,R150:AA150)</f>
        <v>39.880000000000003</v>
      </c>
      <c r="H150" s="19" t="e">
        <f>IF(ISBLANK(B150),0,+#REF!/B150)</f>
        <v>#REF!</v>
      </c>
      <c r="I150" s="148"/>
      <c r="J150" s="82">
        <f>IF(ISBLANK(B150),0,IF(B150&gt;J$94,+J$93,+F$93))</f>
        <v>40</v>
      </c>
      <c r="K150" s="82">
        <f>IF($B150&gt;K$94,ROUND(K$94*K$93,2),ROUND($B150*K$93,2))</f>
        <v>-0.12</v>
      </c>
      <c r="L150" s="82">
        <f>IF($B150&gt;K$94,ROUND(($B150-K$94)*L$93,2),0)</f>
        <v>0</v>
      </c>
      <c r="M150" s="148"/>
      <c r="N150" s="42">
        <f>SUM(K150:L150)</f>
        <v>-0.12</v>
      </c>
      <c r="O150" s="148"/>
      <c r="P150" s="148"/>
      <c r="Q150" s="148"/>
      <c r="S150" s="42">
        <f>ROUND($B150*S$93*S149,2)</f>
        <v>0</v>
      </c>
      <c r="T150" s="42">
        <f>ROUND($B150*T$93,2)</f>
        <v>0</v>
      </c>
      <c r="U150" s="42">
        <f>ROUND($B150*U$93,2)</f>
        <v>0</v>
      </c>
      <c r="V150" s="41">
        <f>ROUND($B150*V$89,2)</f>
        <v>0</v>
      </c>
      <c r="W150" s="148"/>
      <c r="X150" s="42">
        <f>ROUND($B150*X$93,2)</f>
        <v>0</v>
      </c>
      <c r="Y150" s="42">
        <f>ROUND($B150*Y$93,2)</f>
        <v>0</v>
      </c>
      <c r="Z150" s="42">
        <f>ROUND($B150*Z$93,2)</f>
        <v>0</v>
      </c>
      <c r="AA150" s="42">
        <f>ROUND($B150*AA$93,2)</f>
        <v>0</v>
      </c>
      <c r="AB150" s="19">
        <f>SUM(U$93:AA$93)+(-V$93+V112)</f>
        <v>3.4420000000000006E-3</v>
      </c>
      <c r="AC150" s="148"/>
    </row>
    <row r="151" spans="2:123" x14ac:dyDescent="0.2">
      <c r="B151" s="97">
        <v>-1</v>
      </c>
      <c r="C151" s="9"/>
      <c r="F151" s="36"/>
      <c r="G151" s="42"/>
      <c r="H151" s="19"/>
      <c r="I151" s="19"/>
      <c r="J151" s="82"/>
      <c r="K151" s="82"/>
      <c r="L151" s="82"/>
      <c r="M151" s="41"/>
      <c r="N151" s="41"/>
      <c r="O151" s="41"/>
      <c r="P151" s="41"/>
      <c r="Q151" s="41"/>
      <c r="R151" s="41"/>
      <c r="S151" s="50">
        <v>0.25</v>
      </c>
      <c r="T151" s="42"/>
      <c r="U151" s="42"/>
      <c r="V151" s="41"/>
      <c r="W151" s="42"/>
      <c r="X151" s="42"/>
      <c r="Y151" s="42"/>
      <c r="Z151" s="42"/>
      <c r="AA151" s="42"/>
      <c r="AB151" s="19"/>
      <c r="AC151" s="94"/>
    </row>
    <row r="152" spans="2:123" x14ac:dyDescent="0.2">
      <c r="B152" s="103">
        <f>IF(AND('AES Indiana Bill Calc.'!$D$17="SS",'AES Indiana Bill Calc.'!$D$18="Yes 25%",'AES Indiana Bill Calc.'!$D$20="Yes 2021"),'AES Indiana Bill Calc.'!$D$19,-1)</f>
        <v>-1</v>
      </c>
      <c r="C152" s="1" t="s">
        <v>150</v>
      </c>
      <c r="D152" s="148"/>
      <c r="F152" s="36" t="s">
        <v>169</v>
      </c>
      <c r="G152" s="42">
        <f>SUM(J152:M152,O152:P152,R152:AA152)</f>
        <v>39.880000000000003</v>
      </c>
      <c r="H152" s="19" t="e">
        <f>IF(ISBLANK(B152),0,+#REF!/B152)</f>
        <v>#REF!</v>
      </c>
      <c r="I152" s="148"/>
      <c r="J152" s="82">
        <f>IF(ISBLANK(B152),0,IF(B152&gt;J$94,+J$93,+F$93))</f>
        <v>40</v>
      </c>
      <c r="K152" s="82">
        <f>IF($B152&gt;K$94,ROUND(K$94*K$93,2),ROUND($B152*K$93,2))</f>
        <v>-0.12</v>
      </c>
      <c r="L152" s="82">
        <f>IF($B152&gt;K$94,ROUND(($B152-K$94)*L$93,2),0)</f>
        <v>0</v>
      </c>
      <c r="M152" s="148"/>
      <c r="N152" s="42">
        <f>SUM(K152:L152)</f>
        <v>-0.12</v>
      </c>
      <c r="O152" s="148"/>
      <c r="P152" s="148"/>
      <c r="Q152" s="148"/>
      <c r="S152" s="42">
        <f>ROUND($B152*S$93*S151,2)</f>
        <v>0</v>
      </c>
      <c r="T152" s="42">
        <f>ROUND($B152*T$93,2)</f>
        <v>0</v>
      </c>
      <c r="U152" s="42">
        <f>ROUND($B152*U$93,2)</f>
        <v>0</v>
      </c>
      <c r="V152" s="41">
        <f>ROUND($B152*V$89,2)</f>
        <v>0</v>
      </c>
      <c r="W152" s="148"/>
      <c r="X152" s="42">
        <f>ROUND($B152*X$93,2)</f>
        <v>0</v>
      </c>
      <c r="Y152" s="42">
        <f>ROUND($B152*Y$93,2)</f>
        <v>0</v>
      </c>
      <c r="Z152" s="42">
        <f>ROUND($B152*Z$93,2)</f>
        <v>0</v>
      </c>
      <c r="AA152" s="42">
        <f>ROUND($B152*AA$93,2)</f>
        <v>0</v>
      </c>
      <c r="AB152" s="19">
        <f>SUM(U$93:AA$93)+(-V$93+V114)</f>
        <v>3.4420000000000006E-3</v>
      </c>
      <c r="AC152" s="148"/>
    </row>
    <row r="153" spans="2:123" x14ac:dyDescent="0.2">
      <c r="B153" s="97">
        <v>-1</v>
      </c>
      <c r="C153" s="9"/>
      <c r="F153" s="36"/>
      <c r="G153" s="42"/>
      <c r="H153" s="19"/>
      <c r="I153" s="19"/>
      <c r="J153" s="82"/>
      <c r="K153" s="82"/>
      <c r="L153" s="82"/>
      <c r="M153" s="41"/>
      <c r="N153" s="41"/>
      <c r="O153" s="41"/>
      <c r="P153" s="41"/>
      <c r="Q153" s="41"/>
      <c r="R153" s="41"/>
      <c r="S153" s="50">
        <v>0.1</v>
      </c>
      <c r="T153" s="42"/>
      <c r="U153" s="42"/>
      <c r="V153" s="41"/>
      <c r="W153" s="42"/>
      <c r="X153" s="42"/>
      <c r="Y153" s="42"/>
      <c r="Z153" s="42"/>
      <c r="AA153" s="42"/>
      <c r="AB153" s="19"/>
      <c r="AC153" s="94"/>
    </row>
    <row r="154" spans="2:123" x14ac:dyDescent="0.2">
      <c r="B154" s="103">
        <f>IF(AND('AES Indiana Bill Calc.'!$D$17="SS",'AES Indiana Bill Calc.'!$D$18="Yes 10%",'AES Indiana Bill Calc.'!$D$20="Yes 2021"),'AES Indiana Bill Calc.'!$D$19,-1)</f>
        <v>-1</v>
      </c>
      <c r="C154" s="1" t="s">
        <v>164</v>
      </c>
      <c r="D154" s="148"/>
      <c r="F154" s="36" t="s">
        <v>169</v>
      </c>
      <c r="G154" s="42">
        <f>SUM(J154:M154,O154:P154,R154:AA154)</f>
        <v>39.880000000000003</v>
      </c>
      <c r="H154" s="19" t="e">
        <f>IF(ISBLANK(B154),0,+#REF!/B154)</f>
        <v>#REF!</v>
      </c>
      <c r="I154" s="148"/>
      <c r="J154" s="82">
        <f>IF(ISBLANK(B154),0,IF(B154&gt;J$94,+J$93,+F$93))</f>
        <v>40</v>
      </c>
      <c r="K154" s="82">
        <f>IF($B154&gt;K$94,ROUND(K$94*K$93,2),ROUND($B154*K$93,2))</f>
        <v>-0.12</v>
      </c>
      <c r="L154" s="82">
        <f>IF($B154&gt;K$94,ROUND(($B154-K$94)*L$93,2),0)</f>
        <v>0</v>
      </c>
      <c r="M154" s="148"/>
      <c r="N154" s="42">
        <f>SUM(K154:L154)</f>
        <v>-0.12</v>
      </c>
      <c r="O154" s="148"/>
      <c r="P154" s="148"/>
      <c r="Q154" s="148"/>
      <c r="S154" s="42">
        <f>ROUND($B154*S$93*S153,2)</f>
        <v>0</v>
      </c>
      <c r="T154" s="42">
        <f>ROUND($B154*T$93,2)</f>
        <v>0</v>
      </c>
      <c r="U154" s="42">
        <f>ROUND($B154*U$93,2)</f>
        <v>0</v>
      </c>
      <c r="V154" s="41">
        <f>ROUND($B154*V$89,2)</f>
        <v>0</v>
      </c>
      <c r="W154" s="148"/>
      <c r="X154" s="42">
        <f>ROUND($B154*X$93,2)</f>
        <v>0</v>
      </c>
      <c r="Y154" s="42">
        <f>ROUND($B154*Y$93,2)</f>
        <v>0</v>
      </c>
      <c r="Z154" s="42">
        <f>ROUND($B154*Z$93,2)</f>
        <v>0</v>
      </c>
      <c r="AA154" s="42">
        <f>ROUND($B154*AA$93,2)</f>
        <v>0</v>
      </c>
      <c r="AB154" s="19">
        <f>SUM(U$93:AA$93)+(-V$93+V116)</f>
        <v>3.4420000000000006E-3</v>
      </c>
      <c r="AC154" s="148"/>
    </row>
    <row r="155" spans="2:123" x14ac:dyDescent="0.2">
      <c r="B155" s="97">
        <v>-1</v>
      </c>
      <c r="F155" s="36"/>
      <c r="G155" s="42"/>
      <c r="H155" s="19"/>
      <c r="I155" s="19"/>
      <c r="J155" s="82"/>
      <c r="K155" s="82"/>
      <c r="L155" s="82"/>
      <c r="M155" s="41"/>
      <c r="N155" s="41"/>
      <c r="O155" s="41"/>
      <c r="P155" s="41"/>
      <c r="Q155" s="41"/>
      <c r="R155" s="41"/>
      <c r="S155" s="50">
        <v>0</v>
      </c>
      <c r="T155" s="42"/>
      <c r="U155" s="42"/>
      <c r="V155" s="41"/>
      <c r="W155" s="42"/>
      <c r="X155" s="42"/>
      <c r="Y155" s="42"/>
      <c r="Z155" s="42"/>
      <c r="AA155" s="42"/>
      <c r="AB155" s="19"/>
      <c r="AC155" s="94"/>
    </row>
    <row r="156" spans="2:123" ht="13.5" thickBot="1" x14ac:dyDescent="0.25">
      <c r="B156" s="97">
        <f>IF(AND('AES Indiana Bill Calc.'!$D$17="SS",'AES Indiana Bill Calc.'!$D$18="No",'AES Indiana Bill Calc.'!$D$20="Yes 2021"),'AES Indiana Bill Calc.'!$D$19,-1)</f>
        <v>-1</v>
      </c>
      <c r="C156" s="149" t="s">
        <v>147</v>
      </c>
      <c r="D156" s="148"/>
      <c r="F156" s="36" t="s">
        <v>169</v>
      </c>
      <c r="G156" s="42">
        <f>SUM(J156:M156,O156:P156,R156:AA156)</f>
        <v>39.880000000000003</v>
      </c>
      <c r="H156" s="19" t="e">
        <f>IF(ISBLANK(B156),0,+#REF!/B156)</f>
        <v>#REF!</v>
      </c>
      <c r="I156" s="148"/>
      <c r="J156" s="82">
        <f>IF(ISBLANK(B156),0,IF(B156&gt;J$94,+J$93,+F$93))</f>
        <v>40</v>
      </c>
      <c r="K156" s="82">
        <f>IF($B156&gt;K$94,ROUND(K$94*K$93,2),ROUND($B156*K$93,2))</f>
        <v>-0.12</v>
      </c>
      <c r="L156" s="82">
        <f>IF($B156&gt;K$94,ROUND(($B156-K$94)*L$93,2),0)</f>
        <v>0</v>
      </c>
      <c r="M156" s="148"/>
      <c r="N156" s="42">
        <f>SUM(K156:L156)</f>
        <v>-0.12</v>
      </c>
      <c r="O156" s="148"/>
      <c r="P156" s="148"/>
      <c r="Q156" s="148"/>
      <c r="S156" s="42">
        <f>ROUND($B156*S$93*S155,2)</f>
        <v>0</v>
      </c>
      <c r="T156" s="42">
        <f>ROUND($B156*T$93,2)</f>
        <v>0</v>
      </c>
      <c r="U156" s="42">
        <f>ROUND($B156*U$93,2)</f>
        <v>0</v>
      </c>
      <c r="V156" s="41">
        <f>ROUND($B156*V$89,2)</f>
        <v>0</v>
      </c>
      <c r="W156" s="148"/>
      <c r="X156" s="42">
        <f>ROUND($B156*X$93,2)</f>
        <v>0</v>
      </c>
      <c r="Y156" s="42">
        <f>ROUND($B156*Y$93,2)</f>
        <v>0</v>
      </c>
      <c r="Z156" s="42">
        <f>ROUND($B156*Z$93,2)</f>
        <v>0</v>
      </c>
      <c r="AA156" s="42">
        <f>ROUND($B156*AA$93,2)</f>
        <v>0</v>
      </c>
      <c r="AB156" s="19">
        <f>SUM(U$93:AA$93)+(-V$93+V118)</f>
        <v>3.4420000000000006E-3</v>
      </c>
      <c r="AC156" s="148"/>
      <c r="AE156" s="148"/>
      <c r="AG156" s="148"/>
      <c r="AI156" s="148"/>
      <c r="AK156" s="148"/>
      <c r="AM156" s="148"/>
      <c r="AO156" s="148"/>
      <c r="AQ156" s="148"/>
      <c r="AS156" s="148"/>
      <c r="AU156" s="148"/>
      <c r="AW156" s="148"/>
      <c r="AY156" s="148"/>
      <c r="BA156" s="148"/>
      <c r="BC156" s="148"/>
      <c r="BE156" s="148"/>
      <c r="BG156" s="148"/>
      <c r="BI156" s="125"/>
      <c r="BJ156" s="21"/>
      <c r="BK156" s="125"/>
      <c r="BL156" s="21"/>
      <c r="BM156" s="125"/>
      <c r="BN156" s="21"/>
      <c r="BO156" s="125"/>
      <c r="BP156" s="21"/>
      <c r="BQ156" s="125"/>
      <c r="BR156" s="21"/>
      <c r="BS156" s="125"/>
      <c r="BT156" s="21"/>
      <c r="BU156" s="125"/>
      <c r="BV156" s="21"/>
      <c r="BW156" s="125"/>
      <c r="BX156" s="21"/>
      <c r="BY156" s="125"/>
      <c r="BZ156" s="21"/>
      <c r="CA156" s="125"/>
      <c r="CB156" s="21"/>
      <c r="CC156" s="125"/>
      <c r="CD156" s="21"/>
      <c r="CE156" s="125"/>
      <c r="CF156" s="21"/>
      <c r="CG156" s="125"/>
      <c r="CH156" s="21"/>
      <c r="CI156" s="125"/>
      <c r="CJ156" s="21"/>
      <c r="CK156" s="125"/>
      <c r="CL156" s="21"/>
      <c r="CM156" s="125"/>
      <c r="CN156" s="21"/>
      <c r="CO156" s="125"/>
      <c r="CP156" s="21"/>
      <c r="CQ156" s="125"/>
      <c r="CR156" s="21"/>
      <c r="CS156" s="125"/>
      <c r="CT156" s="21"/>
      <c r="CU156" s="125"/>
      <c r="CV156" s="21"/>
      <c r="CW156" s="125"/>
      <c r="CX156" s="21"/>
      <c r="CY156" s="125"/>
      <c r="CZ156" s="21"/>
      <c r="DA156" s="125"/>
      <c r="DB156" s="21"/>
      <c r="DC156" s="125"/>
      <c r="DD156" s="21"/>
      <c r="DE156" s="125"/>
      <c r="DF156" s="21"/>
      <c r="DG156" s="125"/>
      <c r="DH156" s="21"/>
      <c r="DI156" s="125"/>
      <c r="DJ156" s="21"/>
      <c r="DK156" s="125"/>
      <c r="DL156" s="21"/>
      <c r="DM156" s="125"/>
      <c r="DN156" s="21"/>
      <c r="DO156" s="125"/>
      <c r="DP156" s="21"/>
      <c r="DQ156" s="125"/>
      <c r="DR156" s="21"/>
      <c r="DS156" s="125"/>
    </row>
    <row r="157" spans="2:123" x14ac:dyDescent="0.2">
      <c r="B157" s="97">
        <v>-1</v>
      </c>
      <c r="C157" s="80"/>
      <c r="F157" s="36"/>
      <c r="G157" s="42"/>
      <c r="H157" s="19"/>
      <c r="I157" s="19"/>
      <c r="J157" s="82"/>
      <c r="K157" s="82"/>
      <c r="L157" s="82"/>
      <c r="M157" s="41"/>
      <c r="N157" s="41"/>
      <c r="O157" s="41"/>
      <c r="P157" s="41"/>
      <c r="Q157" s="41"/>
      <c r="R157" s="41"/>
      <c r="S157" s="50">
        <v>1</v>
      </c>
      <c r="T157" s="42"/>
      <c r="U157" s="42"/>
      <c r="V157" s="41"/>
      <c r="W157" s="42"/>
      <c r="X157" s="42"/>
      <c r="Y157" s="42"/>
      <c r="Z157" s="42"/>
      <c r="AA157" s="42"/>
      <c r="AB157" s="19"/>
      <c r="AC157" s="94"/>
      <c r="AE157" s="148"/>
      <c r="AG157" s="148"/>
      <c r="AI157" s="148"/>
      <c r="AK157" s="148"/>
      <c r="AM157" s="148"/>
      <c r="AO157" s="148"/>
      <c r="AQ157" s="148"/>
      <c r="AS157" s="148"/>
      <c r="AU157" s="148"/>
      <c r="AW157" s="148"/>
      <c r="AY157" s="148"/>
      <c r="BA157" s="148"/>
      <c r="BC157" s="148"/>
      <c r="BE157" s="148"/>
      <c r="BG157" s="148"/>
      <c r="BI157" s="148"/>
      <c r="BK157" s="148"/>
      <c r="BM157" s="148"/>
      <c r="BO157" s="148"/>
      <c r="BQ157" s="148"/>
      <c r="BS157" s="148"/>
      <c r="BU157" s="148"/>
      <c r="BW157" s="148"/>
      <c r="BY157" s="148"/>
      <c r="CA157" s="148"/>
      <c r="CC157" s="148"/>
      <c r="CE157" s="148"/>
      <c r="CG157" s="148"/>
      <c r="CI157" s="148"/>
      <c r="CK157" s="148"/>
      <c r="CM157" s="148"/>
      <c r="CO157" s="148"/>
      <c r="CQ157" s="148"/>
      <c r="CS157" s="148"/>
      <c r="CU157" s="148"/>
      <c r="CW157" s="148"/>
      <c r="CY157" s="148"/>
      <c r="DA157" s="148"/>
      <c r="DC157" s="148"/>
      <c r="DE157" s="148"/>
      <c r="DG157" s="148"/>
      <c r="DI157" s="148"/>
      <c r="DK157" s="148"/>
      <c r="DM157" s="148"/>
      <c r="DO157" s="148"/>
      <c r="DQ157" s="148"/>
      <c r="DS157" s="148"/>
    </row>
    <row r="158" spans="2:123" x14ac:dyDescent="0.2">
      <c r="B158" s="97">
        <f>IF(AND('AES Indiana Bill Calc.'!$D$17="SS",'AES Indiana Bill Calc.'!$D$18="Yes 100%",'AES Indiana Bill Calc.'!$D$20="Yes 2022"),'AES Indiana Bill Calc.'!$D$19,-1)</f>
        <v>-1</v>
      </c>
      <c r="C158" s="149" t="s">
        <v>148</v>
      </c>
      <c r="D158" s="148"/>
      <c r="F158" s="36" t="s">
        <v>170</v>
      </c>
      <c r="G158" s="42">
        <f>SUM(J158:M158,O158:P158,R158:AA158)</f>
        <v>39.880000000000003</v>
      </c>
      <c r="H158" s="19" t="e">
        <f>IF(ISBLANK(B158),0,+#REF!/B158)</f>
        <v>#REF!</v>
      </c>
      <c r="I158" s="148"/>
      <c r="J158" s="82">
        <f>IF(ISBLANK(B158),0,IF(B158&gt;J$94,+J$93,+F$93))</f>
        <v>40</v>
      </c>
      <c r="K158" s="82">
        <f>IF($B158&gt;K$94,ROUND(K$94*K$93,2),ROUND($B158*K$93,2))</f>
        <v>-0.12</v>
      </c>
      <c r="L158" s="82">
        <f>IF($B158&gt;K$94,ROUND(($B158-K$94)*L$93,2),0)</f>
        <v>0</v>
      </c>
      <c r="M158" s="148"/>
      <c r="N158" s="42">
        <f>SUM(K158:L158)</f>
        <v>-0.12</v>
      </c>
      <c r="O158" s="148"/>
      <c r="P158" s="148"/>
      <c r="Q158" s="148"/>
      <c r="S158" s="42">
        <f>ROUND($B158*S$93*S157,2)</f>
        <v>0</v>
      </c>
      <c r="T158" s="42">
        <f>ROUND($B158*T$93,2)</f>
        <v>0</v>
      </c>
      <c r="U158" s="42">
        <f>ROUND($B158*U$93,2)</f>
        <v>0</v>
      </c>
      <c r="V158" s="41">
        <f>ROUND($B158*V$90,2)</f>
        <v>0</v>
      </c>
      <c r="W158" s="148"/>
      <c r="X158" s="42">
        <f>ROUND($B158*X$93,2)</f>
        <v>0</v>
      </c>
      <c r="Y158" s="42">
        <f>ROUND($B158*Y$93,2)</f>
        <v>0</v>
      </c>
      <c r="Z158" s="42">
        <f>ROUND($B158*Z$93,2)</f>
        <v>0</v>
      </c>
      <c r="AA158" s="42">
        <f>ROUND($B158*AA$93,2)</f>
        <v>0</v>
      </c>
      <c r="AB158" s="19">
        <f>SUM(U$93:AA$93)+(-V$93+V120)</f>
        <v>3.4420000000000006E-3</v>
      </c>
      <c r="AC158" s="148"/>
      <c r="AE158" s="148"/>
      <c r="AG158" s="148"/>
      <c r="AI158" s="148"/>
      <c r="AK158" s="148"/>
      <c r="AM158" s="148"/>
      <c r="AO158" s="148"/>
      <c r="AQ158" s="148"/>
      <c r="AS158" s="148"/>
      <c r="AU158" s="148"/>
      <c r="AW158" s="148"/>
      <c r="AY158" s="148"/>
      <c r="BA158" s="148"/>
      <c r="BC158" s="148"/>
      <c r="BE158" s="148"/>
      <c r="BG158" s="148"/>
      <c r="BI158" s="148"/>
      <c r="BK158" s="148"/>
      <c r="BM158" s="148"/>
      <c r="BO158" s="148"/>
      <c r="BQ158" s="148"/>
      <c r="BS158" s="148"/>
      <c r="BU158" s="148"/>
      <c r="BW158" s="148"/>
      <c r="BY158" s="148"/>
      <c r="CA158" s="148"/>
      <c r="CC158" s="148"/>
      <c r="CE158" s="148"/>
      <c r="CG158" s="148"/>
      <c r="CI158" s="148"/>
      <c r="CK158" s="148"/>
      <c r="CM158" s="148"/>
      <c r="CO158" s="148"/>
      <c r="CQ158" s="148"/>
      <c r="CS158" s="148"/>
      <c r="CU158" s="148"/>
      <c r="CW158" s="148"/>
      <c r="CY158" s="148"/>
      <c r="DA158" s="148"/>
      <c r="DC158" s="148"/>
      <c r="DE158" s="148"/>
      <c r="DG158" s="148"/>
      <c r="DI158" s="148"/>
      <c r="DK158" s="148"/>
      <c r="DM158" s="148"/>
      <c r="DO158" s="148"/>
      <c r="DQ158" s="148"/>
      <c r="DS158" s="148"/>
    </row>
    <row r="159" spans="2:123" x14ac:dyDescent="0.2">
      <c r="B159" s="97">
        <v>-1</v>
      </c>
      <c r="C159" s="80"/>
      <c r="F159" s="36"/>
      <c r="G159" s="42"/>
      <c r="H159" s="19"/>
      <c r="I159" s="19"/>
      <c r="J159" s="82"/>
      <c r="K159" s="82"/>
      <c r="L159" s="82"/>
      <c r="M159" s="41"/>
      <c r="N159" s="41"/>
      <c r="O159" s="41"/>
      <c r="P159" s="41"/>
      <c r="Q159" s="41"/>
      <c r="R159" s="41"/>
      <c r="S159" s="50">
        <v>0.5</v>
      </c>
      <c r="T159" s="42"/>
      <c r="U159" s="42"/>
      <c r="V159" s="41"/>
      <c r="W159" s="42"/>
      <c r="X159" s="42"/>
      <c r="Y159" s="42"/>
      <c r="Z159" s="42"/>
      <c r="AA159" s="42"/>
      <c r="AB159" s="19"/>
      <c r="AC159" s="94"/>
      <c r="AE159" s="148"/>
      <c r="AG159" s="148"/>
      <c r="AI159" s="148"/>
      <c r="AK159" s="148"/>
      <c r="AM159" s="148"/>
      <c r="AO159" s="148"/>
      <c r="AQ159" s="148"/>
      <c r="AS159" s="148"/>
      <c r="AU159" s="148"/>
      <c r="AW159" s="148"/>
      <c r="AY159" s="148"/>
      <c r="BA159" s="148"/>
      <c r="BC159" s="148"/>
      <c r="BE159" s="148"/>
      <c r="BG159" s="148"/>
      <c r="BI159" s="148"/>
      <c r="BK159" s="148"/>
      <c r="BM159" s="148"/>
      <c r="BO159" s="148"/>
      <c r="BQ159" s="148"/>
      <c r="BS159" s="148"/>
      <c r="BU159" s="148"/>
      <c r="BW159" s="148"/>
      <c r="BY159" s="148"/>
      <c r="CA159" s="148"/>
      <c r="CC159" s="148"/>
      <c r="CE159" s="148"/>
      <c r="CG159" s="148"/>
      <c r="CI159" s="148"/>
      <c r="CK159" s="148"/>
      <c r="CM159" s="148"/>
      <c r="CO159" s="148"/>
      <c r="CQ159" s="148"/>
      <c r="CS159" s="148"/>
      <c r="CU159" s="148"/>
      <c r="CW159" s="148"/>
      <c r="CY159" s="148"/>
      <c r="DA159" s="148"/>
      <c r="DC159" s="148"/>
      <c r="DE159" s="148"/>
      <c r="DG159" s="148"/>
      <c r="DI159" s="148"/>
      <c r="DK159" s="148"/>
      <c r="DM159" s="148"/>
      <c r="DO159" s="148"/>
      <c r="DQ159" s="148"/>
      <c r="DS159" s="148"/>
    </row>
    <row r="160" spans="2:123" x14ac:dyDescent="0.2">
      <c r="B160" s="97">
        <f>IF(AND('AES Indiana Bill Calc.'!$D$17="SS",'AES Indiana Bill Calc.'!$D$18="Yes 50%",'AES Indiana Bill Calc.'!$D$20="Yes 2022"),'AES Indiana Bill Calc.'!$D$19,-1)</f>
        <v>-1</v>
      </c>
      <c r="C160" s="149" t="s">
        <v>149</v>
      </c>
      <c r="D160" s="148"/>
      <c r="F160" s="36" t="s">
        <v>170</v>
      </c>
      <c r="G160" s="42">
        <f>SUM(J160:M160,O160:P160,R160:AA160)</f>
        <v>39.880000000000003</v>
      </c>
      <c r="H160" s="19" t="e">
        <f>IF(ISBLANK(B160),0,+#REF!/B160)</f>
        <v>#REF!</v>
      </c>
      <c r="I160" s="148"/>
      <c r="J160" s="82">
        <f>IF(ISBLANK(B160),0,IF(B160&gt;J$94,+J$93,+F$93))</f>
        <v>40</v>
      </c>
      <c r="K160" s="82">
        <f>IF($B160&gt;K$94,ROUND(K$94*K$93,2),ROUND($B160*K$93,2))</f>
        <v>-0.12</v>
      </c>
      <c r="L160" s="82">
        <f>IF($B160&gt;K$94,ROUND(($B160-K$94)*L$93,2),0)</f>
        <v>0</v>
      </c>
      <c r="M160" s="148"/>
      <c r="N160" s="42">
        <f>SUM(K160:L160)</f>
        <v>-0.12</v>
      </c>
      <c r="O160" s="148"/>
      <c r="P160" s="148"/>
      <c r="Q160" s="148"/>
      <c r="S160" s="42">
        <f>ROUND($B160*S$93*S159,2)</f>
        <v>0</v>
      </c>
      <c r="T160" s="42">
        <f>ROUND($B160*T$93,2)</f>
        <v>0</v>
      </c>
      <c r="U160" s="42">
        <f>ROUND($B160*U$93,2)</f>
        <v>0</v>
      </c>
      <c r="V160" s="41">
        <f>ROUND($B160*V$90,2)</f>
        <v>0</v>
      </c>
      <c r="W160" s="148"/>
      <c r="X160" s="42">
        <f>ROUND($B160*X$93,2)</f>
        <v>0</v>
      </c>
      <c r="Y160" s="42">
        <f>ROUND($B160*Y$93,2)</f>
        <v>0</v>
      </c>
      <c r="Z160" s="42">
        <f>ROUND($B160*Z$93,2)</f>
        <v>0</v>
      </c>
      <c r="AA160" s="42">
        <f>ROUND($B160*AA$93,2)</f>
        <v>0</v>
      </c>
      <c r="AB160" s="19">
        <f>SUM(U$93:AA$93)+(-V$93+V122)</f>
        <v>3.4420000000000006E-3</v>
      </c>
      <c r="AC160" s="148"/>
      <c r="AE160" s="148"/>
      <c r="AG160" s="148"/>
      <c r="AI160" s="148"/>
      <c r="AK160" s="148"/>
      <c r="AM160" s="148"/>
      <c r="AO160" s="148"/>
      <c r="AQ160" s="148"/>
      <c r="AS160" s="148"/>
      <c r="AU160" s="148"/>
      <c r="AW160" s="148"/>
      <c r="AY160" s="148"/>
      <c r="BA160" s="148"/>
      <c r="BC160" s="148"/>
      <c r="BE160" s="148"/>
      <c r="BG160" s="148"/>
      <c r="BI160" s="148"/>
      <c r="BK160" s="148"/>
      <c r="BM160" s="148"/>
      <c r="BO160" s="148"/>
      <c r="BQ160" s="148"/>
      <c r="BS160" s="148"/>
      <c r="BU160" s="148"/>
      <c r="BW160" s="148"/>
      <c r="BY160" s="148"/>
      <c r="CA160" s="148"/>
      <c r="CC160" s="148"/>
      <c r="CE160" s="148"/>
      <c r="CG160" s="148"/>
      <c r="CI160" s="148"/>
      <c r="CK160" s="148"/>
      <c r="CM160" s="148"/>
      <c r="CO160" s="148"/>
      <c r="CQ160" s="148"/>
      <c r="CS160" s="148"/>
      <c r="CU160" s="148"/>
      <c r="CW160" s="148"/>
      <c r="CY160" s="148"/>
      <c r="DA160" s="148"/>
      <c r="DC160" s="148"/>
      <c r="DE160" s="148"/>
      <c r="DG160" s="148"/>
      <c r="DI160" s="148"/>
      <c r="DK160" s="148"/>
      <c r="DM160" s="148"/>
      <c r="DO160" s="148"/>
      <c r="DQ160" s="148"/>
      <c r="DS160" s="148"/>
    </row>
    <row r="161" spans="1:123" x14ac:dyDescent="0.2">
      <c r="B161" s="97">
        <v>-1</v>
      </c>
      <c r="C161" s="80"/>
      <c r="F161" s="36"/>
      <c r="G161" s="42"/>
      <c r="H161" s="19"/>
      <c r="I161" s="19"/>
      <c r="J161" s="82"/>
      <c r="K161" s="82"/>
      <c r="L161" s="82"/>
      <c r="M161" s="41"/>
      <c r="N161" s="41"/>
      <c r="O161" s="41"/>
      <c r="P161" s="41"/>
      <c r="Q161" s="41"/>
      <c r="R161" s="41"/>
      <c r="S161" s="50">
        <v>0.25</v>
      </c>
      <c r="T161" s="42"/>
      <c r="U161" s="42"/>
      <c r="V161" s="41"/>
      <c r="W161" s="42"/>
      <c r="X161" s="42"/>
      <c r="Y161" s="42"/>
      <c r="Z161" s="42"/>
      <c r="AA161" s="42"/>
      <c r="AB161" s="19"/>
      <c r="AC161" s="94"/>
      <c r="AE161" s="148"/>
      <c r="AG161" s="148"/>
      <c r="AI161" s="148"/>
      <c r="AK161" s="148"/>
      <c r="AM161" s="148"/>
      <c r="AO161" s="148"/>
      <c r="AQ161" s="148"/>
      <c r="AS161" s="148"/>
      <c r="AU161" s="148"/>
      <c r="AW161" s="148"/>
      <c r="AY161" s="148"/>
      <c r="BA161" s="148"/>
      <c r="BC161" s="148"/>
      <c r="BE161" s="148"/>
      <c r="BG161" s="148"/>
      <c r="BI161" s="148"/>
      <c r="BK161" s="148"/>
      <c r="BM161" s="148"/>
      <c r="BO161" s="148"/>
      <c r="BQ161" s="148"/>
      <c r="BS161" s="148"/>
      <c r="BU161" s="148"/>
      <c r="BW161" s="148"/>
      <c r="BY161" s="148"/>
      <c r="CA161" s="148"/>
      <c r="CC161" s="148"/>
      <c r="CE161" s="148"/>
      <c r="CG161" s="148"/>
      <c r="CI161" s="148"/>
      <c r="CK161" s="148"/>
      <c r="CM161" s="148"/>
      <c r="CO161" s="148"/>
      <c r="CQ161" s="148"/>
      <c r="CS161" s="148"/>
      <c r="CU161" s="148"/>
      <c r="CW161" s="148"/>
      <c r="CY161" s="148"/>
      <c r="DA161" s="148"/>
      <c r="DC161" s="148"/>
      <c r="DE161" s="148"/>
      <c r="DG161" s="148"/>
      <c r="DI161" s="148"/>
      <c r="DK161" s="148"/>
      <c r="DM161" s="148"/>
      <c r="DO161" s="148"/>
      <c r="DQ161" s="148"/>
      <c r="DS161" s="148"/>
    </row>
    <row r="162" spans="1:123" x14ac:dyDescent="0.2">
      <c r="B162" s="97">
        <f>IF(AND('AES Indiana Bill Calc.'!$D$17="SS",'AES Indiana Bill Calc.'!$D$18="Yes 25%",'AES Indiana Bill Calc.'!$D$20="Yes 2022"),'AES Indiana Bill Calc.'!$D$19,-1)</f>
        <v>-1</v>
      </c>
      <c r="C162" s="149" t="s">
        <v>150</v>
      </c>
      <c r="D162" s="148"/>
      <c r="F162" s="36" t="s">
        <v>170</v>
      </c>
      <c r="G162" s="42">
        <f>SUM(J162:M162,O162:P162,R162:AA162)</f>
        <v>39.880000000000003</v>
      </c>
      <c r="H162" s="19" t="e">
        <f>IF(ISBLANK(B162),0,+#REF!/B162)</f>
        <v>#REF!</v>
      </c>
      <c r="I162" s="148"/>
      <c r="J162" s="82">
        <f>IF(ISBLANK(B162),0,IF(B162&gt;J$94,+J$93,+F$93))</f>
        <v>40</v>
      </c>
      <c r="K162" s="82">
        <f>IF($B162&gt;K$94,ROUND(K$94*K$93,2),ROUND($B162*K$93,2))</f>
        <v>-0.12</v>
      </c>
      <c r="L162" s="82">
        <f>IF($B162&gt;K$94,ROUND(($B162-K$94)*L$93,2),0)</f>
        <v>0</v>
      </c>
      <c r="M162" s="148"/>
      <c r="N162" s="42">
        <f>SUM(K162:L162)</f>
        <v>-0.12</v>
      </c>
      <c r="O162" s="148"/>
      <c r="P162" s="148"/>
      <c r="Q162" s="148"/>
      <c r="S162" s="42">
        <f>ROUND($B162*S$93*S161,2)</f>
        <v>0</v>
      </c>
      <c r="T162" s="42">
        <f>ROUND($B162*T$93,2)</f>
        <v>0</v>
      </c>
      <c r="U162" s="42">
        <f>ROUND($B162*U$93,2)</f>
        <v>0</v>
      </c>
      <c r="V162" s="41">
        <f>ROUND($B162*V$90,2)</f>
        <v>0</v>
      </c>
      <c r="W162" s="148"/>
      <c r="X162" s="42">
        <f>ROUND($B162*X$93,2)</f>
        <v>0</v>
      </c>
      <c r="Y162" s="42">
        <f>ROUND($B162*Y$93,2)</f>
        <v>0</v>
      </c>
      <c r="Z162" s="42">
        <f>ROUND($B162*Z$93,2)</f>
        <v>0</v>
      </c>
      <c r="AA162" s="42">
        <f>ROUND($B162*AA$93,2)</f>
        <v>0</v>
      </c>
      <c r="AB162" s="19">
        <f>SUM(U$93:AA$93)+(-V$93+V124)</f>
        <v>3.4420000000000006E-3</v>
      </c>
      <c r="AC162" s="148"/>
      <c r="AE162" s="148"/>
      <c r="AG162" s="148"/>
      <c r="AI162" s="148"/>
      <c r="AK162" s="148"/>
      <c r="AM162" s="148"/>
      <c r="AO162" s="148"/>
      <c r="AQ162" s="148"/>
      <c r="AS162" s="148"/>
      <c r="AU162" s="148"/>
      <c r="AW162" s="148"/>
      <c r="AY162" s="148"/>
      <c r="BA162" s="148"/>
      <c r="BC162" s="148"/>
      <c r="BE162" s="148"/>
      <c r="BG162" s="148"/>
      <c r="BI162" s="148"/>
      <c r="BK162" s="148"/>
      <c r="BM162" s="148"/>
      <c r="BO162" s="148"/>
      <c r="BQ162" s="148"/>
      <c r="BS162" s="148"/>
      <c r="BU162" s="148"/>
      <c r="BW162" s="148"/>
      <c r="BY162" s="148"/>
      <c r="CA162" s="148"/>
      <c r="CC162" s="148"/>
      <c r="CE162" s="148"/>
      <c r="CG162" s="148"/>
      <c r="CI162" s="148"/>
      <c r="CK162" s="148"/>
      <c r="CM162" s="148"/>
      <c r="CO162" s="148"/>
      <c r="CQ162" s="148"/>
      <c r="CS162" s="148"/>
      <c r="CU162" s="148"/>
      <c r="CW162" s="148"/>
      <c r="CY162" s="148"/>
      <c r="DA162" s="148"/>
      <c r="DC162" s="148"/>
      <c r="DE162" s="148"/>
      <c r="DG162" s="148"/>
      <c r="DI162" s="148"/>
      <c r="DK162" s="148"/>
      <c r="DM162" s="148"/>
      <c r="DO162" s="148"/>
      <c r="DQ162" s="148"/>
      <c r="DS162" s="148"/>
    </row>
    <row r="163" spans="1:123" x14ac:dyDescent="0.2">
      <c r="B163" s="97">
        <v>-1</v>
      </c>
      <c r="C163" s="80"/>
      <c r="F163" s="36"/>
      <c r="G163" s="42"/>
      <c r="H163" s="19"/>
      <c r="I163" s="19"/>
      <c r="J163" s="82"/>
      <c r="K163" s="82"/>
      <c r="L163" s="82"/>
      <c r="M163" s="41"/>
      <c r="N163" s="41"/>
      <c r="O163" s="41"/>
      <c r="P163" s="41"/>
      <c r="Q163" s="41"/>
      <c r="R163" s="41"/>
      <c r="S163" s="50">
        <v>0.1</v>
      </c>
      <c r="T163" s="42"/>
      <c r="U163" s="42"/>
      <c r="V163" s="41"/>
      <c r="W163" s="42"/>
      <c r="X163" s="42"/>
      <c r="Y163" s="42"/>
      <c r="Z163" s="42"/>
      <c r="AA163" s="42"/>
      <c r="AB163" s="19"/>
      <c r="AC163" s="94"/>
      <c r="AE163" s="148"/>
      <c r="AG163" s="148"/>
      <c r="AI163" s="148"/>
      <c r="AK163" s="148"/>
      <c r="AM163" s="148"/>
      <c r="AO163" s="148"/>
      <c r="AQ163" s="148"/>
      <c r="AS163" s="148"/>
      <c r="AU163" s="148"/>
      <c r="AW163" s="148"/>
      <c r="AY163" s="148"/>
      <c r="BA163" s="148"/>
      <c r="BC163" s="148"/>
      <c r="BE163" s="148"/>
      <c r="BG163" s="148"/>
      <c r="BI163" s="148"/>
      <c r="BK163" s="148"/>
      <c r="BM163" s="148"/>
      <c r="BO163" s="148"/>
      <c r="BQ163" s="148"/>
      <c r="BS163" s="148"/>
      <c r="BU163" s="148"/>
      <c r="BW163" s="148"/>
      <c r="BY163" s="148"/>
      <c r="CA163" s="148"/>
      <c r="CC163" s="148"/>
      <c r="CE163" s="148"/>
      <c r="CG163" s="148"/>
      <c r="CI163" s="148"/>
      <c r="CK163" s="148"/>
      <c r="CM163" s="148"/>
      <c r="CO163" s="148"/>
      <c r="CQ163" s="148"/>
      <c r="CS163" s="148"/>
      <c r="CU163" s="148"/>
      <c r="CW163" s="148"/>
      <c r="CY163" s="148"/>
      <c r="DA163" s="148"/>
      <c r="DC163" s="148"/>
      <c r="DE163" s="148"/>
      <c r="DG163" s="148"/>
      <c r="DI163" s="148"/>
      <c r="DK163" s="148"/>
      <c r="DM163" s="148"/>
      <c r="DO163" s="148"/>
      <c r="DQ163" s="148"/>
      <c r="DS163" s="148"/>
    </row>
    <row r="164" spans="1:123" x14ac:dyDescent="0.2">
      <c r="B164" s="97">
        <f>IF(AND('AES Indiana Bill Calc.'!$D$17="SS",'AES Indiana Bill Calc.'!$D$18="Yes 10%",'AES Indiana Bill Calc.'!$D$20="Yes 2022"),'AES Indiana Bill Calc.'!$D$19,-1)</f>
        <v>-1</v>
      </c>
      <c r="C164" s="149" t="s">
        <v>164</v>
      </c>
      <c r="D164" s="148"/>
      <c r="F164" s="36" t="s">
        <v>170</v>
      </c>
      <c r="G164" s="42">
        <f>SUM(J164:M164,O164:P164,R164:AA164)</f>
        <v>39.880000000000003</v>
      </c>
      <c r="H164" s="19" t="e">
        <f>IF(ISBLANK(B164),0,+#REF!/B164)</f>
        <v>#REF!</v>
      </c>
      <c r="I164" s="148"/>
      <c r="J164" s="82">
        <f>IF(ISBLANK(B164),0,IF(B164&gt;J$94,+J$93,+F$93))</f>
        <v>40</v>
      </c>
      <c r="K164" s="82">
        <f>IF($B164&gt;K$94,ROUND(K$94*K$93,2),ROUND($B164*K$93,2))</f>
        <v>-0.12</v>
      </c>
      <c r="L164" s="82">
        <f>IF($B164&gt;K$94,ROUND(($B164-K$94)*L$93,2),0)</f>
        <v>0</v>
      </c>
      <c r="M164" s="148"/>
      <c r="N164" s="42">
        <f>SUM(K164:L164)</f>
        <v>-0.12</v>
      </c>
      <c r="O164" s="148"/>
      <c r="P164" s="148"/>
      <c r="Q164" s="148"/>
      <c r="S164" s="42">
        <f>ROUND($B164*S$93*S163,2)</f>
        <v>0</v>
      </c>
      <c r="T164" s="42">
        <f>ROUND($B164*T$93,2)</f>
        <v>0</v>
      </c>
      <c r="U164" s="42">
        <f>ROUND($B164*U$93,2)</f>
        <v>0</v>
      </c>
      <c r="V164" s="41">
        <f>ROUND($B164*V$90,2)</f>
        <v>0</v>
      </c>
      <c r="W164" s="148"/>
      <c r="X164" s="42">
        <f>ROUND($B164*X$93,2)</f>
        <v>0</v>
      </c>
      <c r="Y164" s="42">
        <f>ROUND($B164*Y$93,2)</f>
        <v>0</v>
      </c>
      <c r="Z164" s="42">
        <f>ROUND($B164*Z$93,2)</f>
        <v>0</v>
      </c>
      <c r="AA164" s="42">
        <f>ROUND($B164*AA$93,2)</f>
        <v>0</v>
      </c>
      <c r="AB164" s="19">
        <f>SUM(U$93:AA$93)+(-V$93+V126)</f>
        <v>3.4420000000000006E-3</v>
      </c>
      <c r="AC164" s="148"/>
      <c r="AE164" s="148"/>
      <c r="AG164" s="148"/>
      <c r="AI164" s="148"/>
      <c r="AK164" s="148"/>
      <c r="AM164" s="148"/>
      <c r="AO164" s="148"/>
      <c r="AQ164" s="148"/>
      <c r="AS164" s="148"/>
      <c r="AU164" s="148"/>
      <c r="AW164" s="148"/>
      <c r="AY164" s="148"/>
      <c r="BA164" s="148"/>
      <c r="BC164" s="148"/>
      <c r="BE164" s="148"/>
      <c r="BG164" s="148"/>
      <c r="BI164" s="148"/>
      <c r="BK164" s="148"/>
      <c r="BM164" s="148"/>
      <c r="BO164" s="148"/>
      <c r="BQ164" s="148"/>
      <c r="BS164" s="148"/>
      <c r="BU164" s="148"/>
      <c r="BW164" s="148"/>
      <c r="BY164" s="148"/>
      <c r="CA164" s="148"/>
      <c r="CC164" s="148"/>
      <c r="CE164" s="148"/>
      <c r="CG164" s="148"/>
      <c r="CI164" s="148"/>
      <c r="CK164" s="148"/>
      <c r="CM164" s="148"/>
      <c r="CO164" s="148"/>
      <c r="CQ164" s="148"/>
      <c r="CS164" s="148"/>
      <c r="CU164" s="148"/>
      <c r="CW164" s="148"/>
      <c r="CY164" s="148"/>
      <c r="DA164" s="148"/>
      <c r="DC164" s="148"/>
      <c r="DE164" s="148"/>
      <c r="DG164" s="148"/>
      <c r="DI164" s="148"/>
      <c r="DK164" s="148"/>
      <c r="DM164" s="148"/>
      <c r="DO164" s="148"/>
      <c r="DQ164" s="148"/>
      <c r="DS164" s="148"/>
    </row>
    <row r="165" spans="1:123" x14ac:dyDescent="0.2">
      <c r="B165" s="97">
        <v>-1</v>
      </c>
      <c r="C165" s="40"/>
      <c r="F165" s="36"/>
      <c r="G165" s="42"/>
      <c r="H165" s="19"/>
      <c r="I165" s="19"/>
      <c r="J165" s="82"/>
      <c r="K165" s="82"/>
      <c r="L165" s="82"/>
      <c r="M165" s="41"/>
      <c r="N165" s="41"/>
      <c r="O165" s="41"/>
      <c r="P165" s="41"/>
      <c r="Q165" s="41"/>
      <c r="R165" s="41"/>
      <c r="S165" s="50">
        <v>0</v>
      </c>
      <c r="T165" s="42"/>
      <c r="U165" s="42"/>
      <c r="V165" s="41"/>
      <c r="W165" s="42"/>
      <c r="X165" s="42"/>
      <c r="Y165" s="42"/>
      <c r="Z165" s="42"/>
      <c r="AA165" s="42"/>
      <c r="AB165" s="19"/>
      <c r="AC165" s="94"/>
      <c r="AE165" s="148"/>
      <c r="AG165" s="148"/>
      <c r="AI165" s="148"/>
      <c r="AK165" s="148"/>
      <c r="AM165" s="148"/>
      <c r="AO165" s="148"/>
      <c r="AQ165" s="148"/>
      <c r="AS165" s="148"/>
      <c r="AU165" s="148"/>
      <c r="AW165" s="148"/>
      <c r="AY165" s="148"/>
      <c r="BA165" s="148"/>
      <c r="BC165" s="148"/>
      <c r="BE165" s="148"/>
      <c r="BG165" s="148"/>
      <c r="BI165" s="148"/>
      <c r="BK165" s="148"/>
      <c r="BM165" s="148"/>
      <c r="BO165" s="148"/>
      <c r="BQ165" s="148"/>
      <c r="BS165" s="148"/>
      <c r="BU165" s="148"/>
      <c r="BW165" s="148"/>
      <c r="BY165" s="148"/>
      <c r="CA165" s="148"/>
      <c r="CC165" s="148"/>
      <c r="CE165" s="148"/>
      <c r="CG165" s="148"/>
      <c r="CI165" s="148"/>
      <c r="CK165" s="148"/>
      <c r="CM165" s="148"/>
      <c r="CO165" s="148"/>
      <c r="CQ165" s="148"/>
      <c r="CS165" s="148"/>
      <c r="CU165" s="148"/>
      <c r="CW165" s="148"/>
      <c r="CY165" s="148"/>
      <c r="DA165" s="148"/>
      <c r="DC165" s="148"/>
      <c r="DE165" s="148"/>
      <c r="DG165" s="148"/>
      <c r="DI165" s="148"/>
      <c r="DK165" s="148"/>
      <c r="DM165" s="148"/>
      <c r="DO165" s="148"/>
      <c r="DQ165" s="148"/>
      <c r="DS165" s="148"/>
    </row>
    <row r="166" spans="1:123" x14ac:dyDescent="0.2">
      <c r="B166" s="97">
        <f>IF(AND('AES Indiana Bill Calc.'!$D$17="SS",'AES Indiana Bill Calc.'!$D$18="No",'AES Indiana Bill Calc.'!$D$20="Yes 2022"),'AES Indiana Bill Calc.'!$D$19,-1)</f>
        <v>-1</v>
      </c>
      <c r="C166" s="149" t="s">
        <v>147</v>
      </c>
      <c r="D166" s="148"/>
      <c r="F166" s="36" t="s">
        <v>170</v>
      </c>
      <c r="G166" s="42">
        <f>SUM(J166:M166,O166:P166,R166:AA166)</f>
        <v>39.880000000000003</v>
      </c>
      <c r="H166" s="19" t="e">
        <f>IF(ISBLANK(B166),0,+#REF!/B166)</f>
        <v>#REF!</v>
      </c>
      <c r="I166" s="148"/>
      <c r="J166" s="82">
        <f>IF(ISBLANK(B166),0,IF(B166&gt;J$94,+J$93,+F$93))</f>
        <v>40</v>
      </c>
      <c r="K166" s="82">
        <f>IF($B166&gt;K$94,ROUND(K$94*K$93,2),ROUND($B166*K$93,2))</f>
        <v>-0.12</v>
      </c>
      <c r="L166" s="82">
        <f>IF($B166&gt;K$94,ROUND(($B166-K$94)*L$93,2),0)</f>
        <v>0</v>
      </c>
      <c r="M166" s="148"/>
      <c r="N166" s="42">
        <f>SUM(K166:L166)</f>
        <v>-0.12</v>
      </c>
      <c r="O166" s="148"/>
      <c r="P166" s="148"/>
      <c r="Q166" s="148"/>
      <c r="S166" s="42">
        <f>ROUND($B166*S$93*S165,2)</f>
        <v>0</v>
      </c>
      <c r="T166" s="42">
        <f>ROUND($B166*T$93,2)</f>
        <v>0</v>
      </c>
      <c r="U166" s="42">
        <f>ROUND($B166*U$93,2)</f>
        <v>0</v>
      </c>
      <c r="V166" s="41">
        <f>ROUND($B166*V$90,2)</f>
        <v>0</v>
      </c>
      <c r="W166" s="148"/>
      <c r="X166" s="42">
        <f>ROUND($B166*X$93,2)</f>
        <v>0</v>
      </c>
      <c r="Y166" s="42">
        <f>ROUND($B166*Y$93,2)</f>
        <v>0</v>
      </c>
      <c r="Z166" s="42">
        <f>ROUND($B166*Z$93,2)</f>
        <v>0</v>
      </c>
      <c r="AA166" s="42">
        <f>ROUND($B166*AA$93,2)</f>
        <v>0</v>
      </c>
      <c r="AB166" s="19">
        <f>SUM(U$93:AA$93)+(-V$93+V128)</f>
        <v>3.4420000000000006E-3</v>
      </c>
      <c r="AC166" s="148"/>
      <c r="AE166" s="148"/>
      <c r="AG166" s="148"/>
      <c r="AI166" s="148"/>
      <c r="AK166" s="148"/>
      <c r="AM166" s="148"/>
      <c r="AO166" s="148"/>
      <c r="AQ166" s="148"/>
      <c r="AS166" s="148"/>
      <c r="AU166" s="148"/>
      <c r="AW166" s="148"/>
      <c r="AY166" s="148"/>
      <c r="BA166" s="148"/>
      <c r="BC166" s="148"/>
      <c r="BE166" s="148"/>
      <c r="BG166" s="148"/>
      <c r="BI166" s="148"/>
      <c r="BK166" s="148"/>
      <c r="BM166" s="148"/>
      <c r="BO166" s="148"/>
      <c r="BQ166" s="148"/>
      <c r="BS166" s="148"/>
      <c r="BU166" s="148"/>
      <c r="BW166" s="148"/>
      <c r="BY166" s="148"/>
      <c r="CA166" s="148"/>
      <c r="CC166" s="148"/>
      <c r="CE166" s="148"/>
      <c r="CG166" s="148"/>
      <c r="CI166" s="148"/>
      <c r="CK166" s="148"/>
      <c r="CM166" s="148"/>
      <c r="CO166" s="148"/>
      <c r="CQ166" s="148"/>
      <c r="CS166" s="148"/>
      <c r="CU166" s="148"/>
      <c r="CW166" s="148"/>
      <c r="CY166" s="148"/>
      <c r="DA166" s="148"/>
      <c r="DC166" s="148"/>
      <c r="DE166" s="148"/>
      <c r="DG166" s="148"/>
      <c r="DI166" s="148"/>
      <c r="DK166" s="148"/>
      <c r="DM166" s="148"/>
      <c r="DO166" s="148"/>
      <c r="DQ166" s="148"/>
      <c r="DS166" s="148"/>
    </row>
    <row r="167" spans="1:123" x14ac:dyDescent="0.2">
      <c r="B167" s="97">
        <v>-1</v>
      </c>
      <c r="C167" s="149"/>
      <c r="D167" s="148"/>
      <c r="F167" s="36"/>
      <c r="G167" s="42"/>
      <c r="H167" s="19"/>
      <c r="I167" s="148"/>
      <c r="J167" s="82"/>
      <c r="K167" s="82"/>
      <c r="L167" s="82"/>
      <c r="M167" s="148"/>
      <c r="N167" s="42"/>
      <c r="O167" s="148"/>
      <c r="P167" s="148"/>
      <c r="Q167" s="148"/>
      <c r="S167" s="50">
        <v>1</v>
      </c>
      <c r="T167" s="42"/>
      <c r="U167" s="42"/>
      <c r="V167" s="41"/>
      <c r="W167" s="148"/>
      <c r="X167" s="42"/>
      <c r="Y167" s="42"/>
      <c r="Z167" s="42"/>
      <c r="AA167" s="42"/>
      <c r="AB167" s="19"/>
      <c r="AC167" s="148"/>
      <c r="AE167" s="148"/>
      <c r="AG167" s="148"/>
      <c r="AI167" s="148"/>
      <c r="AK167" s="148"/>
      <c r="AM167" s="148"/>
      <c r="AO167" s="148"/>
      <c r="AQ167" s="148"/>
      <c r="AS167" s="148"/>
      <c r="AU167" s="148"/>
      <c r="AW167" s="148"/>
      <c r="AY167" s="148"/>
      <c r="BA167" s="148"/>
      <c r="BC167" s="148"/>
      <c r="BE167" s="148"/>
      <c r="BG167" s="148"/>
      <c r="BI167" s="148"/>
      <c r="BK167" s="148"/>
      <c r="BM167" s="148"/>
      <c r="BO167" s="148"/>
      <c r="BQ167" s="148"/>
      <c r="BS167" s="148"/>
      <c r="BU167" s="148"/>
      <c r="BW167" s="148"/>
      <c r="BY167" s="148"/>
      <c r="CA167" s="148"/>
      <c r="CC167" s="148"/>
      <c r="CE167" s="148"/>
      <c r="CG167" s="148"/>
      <c r="CI167" s="148"/>
      <c r="CK167" s="148"/>
      <c r="CM167" s="148"/>
      <c r="CO167" s="148"/>
      <c r="CQ167" s="148"/>
      <c r="CS167" s="148"/>
      <c r="CU167" s="148"/>
      <c r="CW167" s="148"/>
      <c r="CY167" s="148"/>
      <c r="DA167" s="148"/>
      <c r="DC167" s="148"/>
      <c r="DE167" s="148"/>
      <c r="DG167" s="148"/>
      <c r="DI167" s="148"/>
      <c r="DK167" s="148"/>
      <c r="DM167" s="148"/>
      <c r="DO167" s="148"/>
      <c r="DQ167" s="148"/>
      <c r="DS167" s="148"/>
    </row>
    <row r="168" spans="1:123" x14ac:dyDescent="0.2">
      <c r="B168" s="97">
        <f>IF(AND('AES Indiana Bill Calc.'!$D$17="SS",'AES Indiana Bill Calc.'!$D$18="Yes 100%",'AES Indiana Bill Calc.'!$D$20="Yes 2023"),'AES Indiana Bill Calc.'!$D$19,-1)</f>
        <v>-1</v>
      </c>
      <c r="C168" s="149" t="s">
        <v>148</v>
      </c>
      <c r="D168" s="148"/>
      <c r="F168" s="36" t="s">
        <v>171</v>
      </c>
      <c r="G168" s="42">
        <f>SUM(J168:M168,O168:P168,R168:AA168)</f>
        <v>39.880000000000003</v>
      </c>
      <c r="H168" s="19" t="e">
        <f>IF(ISBLANK(B168),0,+#REF!/B168)</f>
        <v>#REF!</v>
      </c>
      <c r="I168" s="148"/>
      <c r="J168" s="82">
        <f>IF(ISBLANK(B168),0,IF(B168&gt;J$94,+J$93,+F$93))</f>
        <v>40</v>
      </c>
      <c r="K168" s="82">
        <f>IF($B168&gt;K$94,ROUND(K$94*K$93,2),ROUND($B168*K$93,2))</f>
        <v>-0.12</v>
      </c>
      <c r="L168" s="82">
        <f>IF($B168&gt;K$94,ROUND(($B168-K$94)*L$93,2),0)</f>
        <v>0</v>
      </c>
      <c r="M168" s="148"/>
      <c r="N168" s="42">
        <f>SUM(K168:L168)</f>
        <v>-0.12</v>
      </c>
      <c r="O168" s="148"/>
      <c r="P168" s="148"/>
      <c r="Q168" s="148"/>
      <c r="S168" s="42">
        <f>ROUND($B168*S$93*S167,2)</f>
        <v>0</v>
      </c>
      <c r="T168" s="42">
        <f>ROUND($B168*T$93,2)</f>
        <v>0</v>
      </c>
      <c r="U168" s="42">
        <f>ROUND($B168*U$93,2)</f>
        <v>0</v>
      </c>
      <c r="V168" s="41">
        <f>ROUND($B168*V$91,2)</f>
        <v>0</v>
      </c>
      <c r="W168" s="148"/>
      <c r="X168" s="42">
        <f>ROUND($B168*X$93,2)</f>
        <v>0</v>
      </c>
      <c r="Y168" s="42">
        <f>ROUND($B168*Y$93,2)</f>
        <v>0</v>
      </c>
      <c r="Z168" s="42">
        <f>ROUND($B168*Z$93,2)</f>
        <v>0</v>
      </c>
      <c r="AA168" s="42">
        <f>ROUND($B168*AA$93,2)</f>
        <v>0</v>
      </c>
      <c r="AB168" s="19">
        <f>SUM(U$93:AA$93)+(-V$93+V130)</f>
        <v>3.4420000000000006E-3</v>
      </c>
      <c r="AC168" s="148"/>
      <c r="AE168" s="148"/>
      <c r="AG168" s="148"/>
      <c r="AI168" s="148"/>
      <c r="AK168" s="148"/>
      <c r="AM168" s="148"/>
      <c r="AO168" s="148"/>
      <c r="AQ168" s="148"/>
      <c r="AS168" s="148"/>
      <c r="AU168" s="148"/>
      <c r="AW168" s="148"/>
      <c r="AY168" s="148"/>
      <c r="BA168" s="148"/>
      <c r="BC168" s="148"/>
      <c r="BE168" s="148"/>
      <c r="BG168" s="148"/>
      <c r="BI168" s="148"/>
      <c r="BK168" s="148"/>
      <c r="BM168" s="148"/>
      <c r="BO168" s="148"/>
      <c r="BQ168" s="148"/>
      <c r="BS168" s="148"/>
      <c r="BU168" s="148"/>
      <c r="BW168" s="148"/>
      <c r="BY168" s="148"/>
      <c r="CA168" s="148"/>
      <c r="CC168" s="148"/>
      <c r="CE168" s="148"/>
      <c r="CG168" s="148"/>
      <c r="CI168" s="148"/>
      <c r="CK168" s="148"/>
      <c r="CM168" s="148"/>
      <c r="CO168" s="148"/>
      <c r="CQ168" s="148"/>
      <c r="CS168" s="148"/>
      <c r="CU168" s="148"/>
      <c r="CW168" s="148"/>
      <c r="CY168" s="148"/>
      <c r="DA168" s="148"/>
      <c r="DC168" s="148"/>
      <c r="DE168" s="148"/>
      <c r="DG168" s="148"/>
      <c r="DI168" s="148"/>
      <c r="DK168" s="148"/>
      <c r="DM168" s="148"/>
      <c r="DO168" s="148"/>
      <c r="DQ168" s="148"/>
      <c r="DS168" s="148"/>
    </row>
    <row r="169" spans="1:123" x14ac:dyDescent="0.2">
      <c r="B169" s="97">
        <v>-1</v>
      </c>
      <c r="C169" s="9"/>
      <c r="F169" s="36"/>
      <c r="G169" s="42"/>
      <c r="H169" s="19"/>
      <c r="I169" s="19"/>
      <c r="J169" s="82"/>
      <c r="K169" s="82"/>
      <c r="L169" s="82"/>
      <c r="M169" s="41"/>
      <c r="N169" s="41"/>
      <c r="O169" s="41"/>
      <c r="P169" s="41"/>
      <c r="Q169" s="41"/>
      <c r="R169" s="41"/>
      <c r="S169" s="50">
        <v>0.5</v>
      </c>
      <c r="T169" s="42"/>
      <c r="U169" s="42"/>
      <c r="V169" s="41"/>
      <c r="W169" s="42"/>
      <c r="X169" s="42"/>
      <c r="Y169" s="42"/>
      <c r="Z169" s="42"/>
      <c r="AA169" s="42"/>
      <c r="AB169" s="19"/>
      <c r="AC169" s="94"/>
      <c r="AE169" s="148"/>
      <c r="AG169" s="148"/>
      <c r="AI169" s="148"/>
      <c r="AK169" s="148"/>
      <c r="AM169" s="148"/>
      <c r="AO169" s="148"/>
      <c r="AQ169" s="148"/>
      <c r="AS169" s="148"/>
      <c r="AU169" s="148"/>
      <c r="AW169" s="148"/>
      <c r="AY169" s="148"/>
      <c r="BA169" s="148"/>
      <c r="BC169" s="148"/>
      <c r="BE169" s="148"/>
      <c r="BG169" s="148"/>
      <c r="BI169" s="148"/>
      <c r="BK169" s="148"/>
      <c r="BM169" s="148"/>
      <c r="BO169" s="148"/>
      <c r="BQ169" s="148"/>
      <c r="BS169" s="148"/>
      <c r="BU169" s="148"/>
      <c r="BW169" s="148"/>
      <c r="BY169" s="148"/>
      <c r="CA169" s="148"/>
      <c r="CC169" s="148"/>
      <c r="CE169" s="148"/>
      <c r="CG169" s="148"/>
      <c r="CI169" s="148"/>
      <c r="CK169" s="148"/>
      <c r="CM169" s="148"/>
      <c r="CO169" s="148"/>
      <c r="CQ169" s="148"/>
      <c r="CS169" s="148"/>
      <c r="CU169" s="148"/>
      <c r="CW169" s="148"/>
      <c r="CY169" s="148"/>
      <c r="DA169" s="148"/>
      <c r="DC169" s="148"/>
      <c r="DE169" s="148"/>
      <c r="DG169" s="148"/>
      <c r="DI169" s="148"/>
      <c r="DK169" s="148"/>
      <c r="DM169" s="148"/>
      <c r="DO169" s="148"/>
      <c r="DQ169" s="148"/>
      <c r="DS169" s="148"/>
    </row>
    <row r="170" spans="1:123" x14ac:dyDescent="0.2">
      <c r="B170" s="103">
        <f>IF(AND('AES Indiana Bill Calc.'!$D$17="SS",'AES Indiana Bill Calc.'!$D$18="Yes 50%",'AES Indiana Bill Calc.'!$D$20="Yes 2023"),'AES Indiana Bill Calc.'!$D$19,-1)</f>
        <v>-1</v>
      </c>
      <c r="C170" s="1" t="s">
        <v>149</v>
      </c>
      <c r="D170" s="148"/>
      <c r="F170" s="36" t="s">
        <v>171</v>
      </c>
      <c r="G170" s="42">
        <f>SUM(J170:M170,O170:P170,R170:AA170)</f>
        <v>39.880000000000003</v>
      </c>
      <c r="H170" s="19" t="e">
        <f>IF(ISBLANK(B170),0,+#REF!/B170)</f>
        <v>#REF!</v>
      </c>
      <c r="I170" s="148"/>
      <c r="J170" s="82">
        <f>IF(ISBLANK(B170),0,IF(B170&gt;J$94,+J$93,+F$93))</f>
        <v>40</v>
      </c>
      <c r="K170" s="82">
        <f>IF($B170&gt;K$94,ROUND(K$94*K$93,2),ROUND($B170*K$93,2))</f>
        <v>-0.12</v>
      </c>
      <c r="L170" s="82">
        <f>IF($B170&gt;K$94,ROUND(($B170-K$94)*L$93,2),0)</f>
        <v>0</v>
      </c>
      <c r="M170" s="148"/>
      <c r="N170" s="42">
        <f>SUM(K170:L170)</f>
        <v>-0.12</v>
      </c>
      <c r="O170" s="148"/>
      <c r="P170" s="148"/>
      <c r="Q170" s="148"/>
      <c r="S170" s="42">
        <f>ROUND($B170*S$93*S169,2)</f>
        <v>0</v>
      </c>
      <c r="T170" s="42">
        <f>ROUND($B170*T$93,2)</f>
        <v>0</v>
      </c>
      <c r="U170" s="42">
        <f>ROUND($B170*U$93,2)</f>
        <v>0</v>
      </c>
      <c r="V170" s="41">
        <f>ROUND($B170*V$91,2)</f>
        <v>0</v>
      </c>
      <c r="W170" s="148"/>
      <c r="X170" s="42">
        <f>ROUND($B170*X$93,2)</f>
        <v>0</v>
      </c>
      <c r="Y170" s="42">
        <f>ROUND($B170*Y$93,2)</f>
        <v>0</v>
      </c>
      <c r="Z170" s="42">
        <f>ROUND($B170*Z$93,2)</f>
        <v>0</v>
      </c>
      <c r="AA170" s="42">
        <f>ROUND($B170*AA$93,2)</f>
        <v>0</v>
      </c>
      <c r="AB170" s="19">
        <f>SUM(U$93:AA$93)+(-V$93+V132)</f>
        <v>3.4420000000000006E-3</v>
      </c>
      <c r="AC170" s="148"/>
      <c r="AE170" s="148"/>
      <c r="AG170" s="148"/>
      <c r="AI170" s="148"/>
      <c r="AK170" s="148"/>
      <c r="AM170" s="148"/>
      <c r="AO170" s="148"/>
      <c r="AQ170" s="148"/>
      <c r="AS170" s="148"/>
      <c r="AU170" s="148"/>
      <c r="AW170" s="148"/>
      <c r="AY170" s="148"/>
      <c r="BA170" s="148"/>
      <c r="BC170" s="148"/>
      <c r="BE170" s="148"/>
      <c r="BG170" s="148"/>
      <c r="BI170" s="148"/>
      <c r="BK170" s="148"/>
      <c r="BM170" s="148"/>
      <c r="BO170" s="148"/>
      <c r="BQ170" s="148"/>
      <c r="BS170" s="148"/>
      <c r="BU170" s="148"/>
      <c r="BW170" s="148"/>
      <c r="BY170" s="148"/>
      <c r="CA170" s="148"/>
      <c r="CC170" s="148"/>
      <c r="CE170" s="148"/>
      <c r="CG170" s="148"/>
      <c r="CI170" s="148"/>
      <c r="CK170" s="148"/>
      <c r="CM170" s="148"/>
      <c r="CO170" s="148"/>
      <c r="CQ170" s="148"/>
      <c r="CS170" s="148"/>
      <c r="CU170" s="148"/>
      <c r="CW170" s="148"/>
      <c r="CY170" s="148"/>
      <c r="DA170" s="148"/>
      <c r="DC170" s="148"/>
      <c r="DE170" s="148"/>
      <c r="DG170" s="148"/>
      <c r="DI170" s="148"/>
      <c r="DK170" s="148"/>
      <c r="DM170" s="148"/>
      <c r="DO170" s="148"/>
      <c r="DQ170" s="148"/>
      <c r="DS170" s="148"/>
    </row>
    <row r="171" spans="1:123" x14ac:dyDescent="0.2">
      <c r="B171" s="97">
        <v>-1</v>
      </c>
      <c r="C171" s="9"/>
      <c r="F171" s="36"/>
      <c r="G171" s="42"/>
      <c r="H171" s="19"/>
      <c r="I171" s="19"/>
      <c r="J171" s="82"/>
      <c r="K171" s="82"/>
      <c r="L171" s="82"/>
      <c r="M171" s="41"/>
      <c r="N171" s="41"/>
      <c r="O171" s="41"/>
      <c r="P171" s="41"/>
      <c r="Q171" s="41"/>
      <c r="R171" s="41"/>
      <c r="S171" s="50">
        <v>0.25</v>
      </c>
      <c r="T171" s="42"/>
      <c r="U171" s="42"/>
      <c r="V171" s="41"/>
      <c r="W171" s="42"/>
      <c r="X171" s="42"/>
      <c r="Y171" s="42"/>
      <c r="Z171" s="42"/>
      <c r="AA171" s="42"/>
      <c r="AB171" s="19"/>
      <c r="AC171" s="94"/>
      <c r="AE171" s="148"/>
      <c r="AG171" s="148"/>
      <c r="AI171" s="148"/>
      <c r="AK171" s="148"/>
      <c r="AM171" s="148"/>
      <c r="AO171" s="148"/>
      <c r="AQ171" s="148"/>
      <c r="AS171" s="148"/>
      <c r="AU171" s="148"/>
      <c r="AW171" s="148"/>
      <c r="AY171" s="148"/>
      <c r="BA171" s="148"/>
      <c r="BC171" s="148"/>
      <c r="BE171" s="148"/>
      <c r="BG171" s="148"/>
      <c r="BI171" s="148"/>
      <c r="BK171" s="148"/>
      <c r="BM171" s="148"/>
      <c r="BO171" s="148"/>
      <c r="BQ171" s="148"/>
      <c r="BS171" s="148"/>
      <c r="BU171" s="148"/>
      <c r="BW171" s="148"/>
      <c r="BY171" s="148"/>
      <c r="CA171" s="148"/>
      <c r="CC171" s="148"/>
      <c r="CE171" s="148"/>
      <c r="CG171" s="148"/>
      <c r="CI171" s="148"/>
      <c r="CK171" s="148"/>
      <c r="CM171" s="148"/>
      <c r="CO171" s="148"/>
      <c r="CQ171" s="148"/>
      <c r="CS171" s="148"/>
      <c r="CU171" s="148"/>
      <c r="CW171" s="148"/>
      <c r="CY171" s="148"/>
      <c r="DA171" s="148"/>
      <c r="DC171" s="148"/>
      <c r="DE171" s="148"/>
      <c r="DG171" s="148"/>
      <c r="DI171" s="148"/>
      <c r="DK171" s="148"/>
      <c r="DM171" s="148"/>
      <c r="DO171" s="148"/>
      <c r="DQ171" s="148"/>
      <c r="DS171" s="148"/>
    </row>
    <row r="172" spans="1:123" x14ac:dyDescent="0.2">
      <c r="B172" s="103">
        <f>IF(AND('AES Indiana Bill Calc.'!$D$17="SS",'AES Indiana Bill Calc.'!$D$18="Yes 25%",'AES Indiana Bill Calc.'!$D$20="Yes 2023"),'AES Indiana Bill Calc.'!$D$19,-1)</f>
        <v>-1</v>
      </c>
      <c r="C172" s="1" t="s">
        <v>150</v>
      </c>
      <c r="D172" s="148"/>
      <c r="F172" s="36" t="s">
        <v>171</v>
      </c>
      <c r="G172" s="42">
        <f>SUM(J172:M172,O172:P172,R172:AA172)</f>
        <v>39.880000000000003</v>
      </c>
      <c r="H172" s="19" t="e">
        <f>IF(ISBLANK(B172),0,+#REF!/B172)</f>
        <v>#REF!</v>
      </c>
      <c r="I172" s="148"/>
      <c r="J172" s="82">
        <f>IF(ISBLANK(B172),0,IF(B172&gt;J$94,+J$93,+F$93))</f>
        <v>40</v>
      </c>
      <c r="K172" s="82">
        <f>IF($B172&gt;K$94,ROUND(K$94*K$93,2),ROUND($B172*K$93,2))</f>
        <v>-0.12</v>
      </c>
      <c r="L172" s="82">
        <f>IF($B172&gt;K$94,ROUND(($B172-K$94)*L$93,2),0)</f>
        <v>0</v>
      </c>
      <c r="M172" s="148"/>
      <c r="N172" s="42">
        <f>SUM(K172:L172)</f>
        <v>-0.12</v>
      </c>
      <c r="O172" s="148"/>
      <c r="P172" s="148"/>
      <c r="Q172" s="148"/>
      <c r="S172" s="42">
        <f>ROUND($B172*S$93*S171,2)</f>
        <v>0</v>
      </c>
      <c r="T172" s="42">
        <f>ROUND($B172*T$93,2)</f>
        <v>0</v>
      </c>
      <c r="U172" s="42">
        <f>ROUND($B172*U$93,2)</f>
        <v>0</v>
      </c>
      <c r="V172" s="41">
        <f>ROUND($B172*V$91,2)</f>
        <v>0</v>
      </c>
      <c r="W172" s="148"/>
      <c r="X172" s="42">
        <f>ROUND($B172*X$93,2)</f>
        <v>0</v>
      </c>
      <c r="Y172" s="42">
        <f>ROUND($B172*Y$93,2)</f>
        <v>0</v>
      </c>
      <c r="Z172" s="42">
        <f>ROUND($B172*Z$93,2)</f>
        <v>0</v>
      </c>
      <c r="AA172" s="42">
        <f>ROUND($B172*AA$93,2)</f>
        <v>0</v>
      </c>
      <c r="AB172" s="19">
        <f>SUM(U$93:AA$93)+(-V$93+V134)</f>
        <v>3.4420000000000006E-3</v>
      </c>
      <c r="AC172" s="148"/>
      <c r="AE172" s="148"/>
      <c r="AG172" s="148"/>
      <c r="AI172" s="148"/>
      <c r="AK172" s="148"/>
      <c r="AM172" s="148"/>
      <c r="AO172" s="148"/>
      <c r="AQ172" s="148"/>
      <c r="AS172" s="148"/>
      <c r="AU172" s="148"/>
      <c r="AW172" s="148"/>
      <c r="AY172" s="148"/>
      <c r="BA172" s="148"/>
      <c r="BC172" s="148"/>
      <c r="BE172" s="148"/>
      <c r="BG172" s="148"/>
      <c r="BI172" s="148"/>
      <c r="BK172" s="148"/>
      <c r="BM172" s="148"/>
      <c r="BO172" s="148"/>
      <c r="BQ172" s="148"/>
      <c r="BS172" s="148"/>
      <c r="BU172" s="148"/>
      <c r="BW172" s="148"/>
      <c r="BY172" s="148"/>
      <c r="CA172" s="148"/>
      <c r="CC172" s="148"/>
      <c r="CE172" s="148"/>
      <c r="CG172" s="148"/>
      <c r="CI172" s="148"/>
      <c r="CK172" s="148"/>
      <c r="CM172" s="148"/>
      <c r="CO172" s="148"/>
      <c r="CQ172" s="148"/>
      <c r="CS172" s="148"/>
      <c r="CU172" s="148"/>
      <c r="CW172" s="148"/>
      <c r="CY172" s="148"/>
      <c r="DA172" s="148"/>
      <c r="DC172" s="148"/>
      <c r="DE172" s="148"/>
      <c r="DG172" s="148"/>
      <c r="DI172" s="148"/>
      <c r="DK172" s="148"/>
      <c r="DM172" s="148"/>
      <c r="DO172" s="148"/>
      <c r="DQ172" s="148"/>
      <c r="DS172" s="148"/>
    </row>
    <row r="173" spans="1:123" x14ac:dyDescent="0.2">
      <c r="B173" s="97">
        <v>-1</v>
      </c>
      <c r="C173" s="9"/>
      <c r="F173" s="36"/>
      <c r="G173" s="42"/>
      <c r="H173" s="19"/>
      <c r="I173" s="19"/>
      <c r="J173" s="82"/>
      <c r="K173" s="82"/>
      <c r="L173" s="82"/>
      <c r="M173" s="41"/>
      <c r="N173" s="41"/>
      <c r="O173" s="41"/>
      <c r="P173" s="41"/>
      <c r="Q173" s="41"/>
      <c r="R173" s="41"/>
      <c r="S173" s="50">
        <v>0.1</v>
      </c>
      <c r="T173" s="42"/>
      <c r="U173" s="42"/>
      <c r="V173" s="41"/>
      <c r="W173" s="42"/>
      <c r="X173" s="42"/>
      <c r="Y173" s="42"/>
      <c r="Z173" s="42"/>
      <c r="AA173" s="42"/>
      <c r="AB173" s="19"/>
      <c r="AC173" s="94"/>
      <c r="AE173" s="148"/>
      <c r="AG173" s="148"/>
      <c r="AI173" s="148"/>
      <c r="AK173" s="148"/>
      <c r="AM173" s="148"/>
      <c r="AO173" s="148"/>
      <c r="AQ173" s="148"/>
      <c r="AS173" s="148"/>
      <c r="AU173" s="148"/>
      <c r="AW173" s="148"/>
      <c r="AY173" s="148"/>
      <c r="BA173" s="148"/>
      <c r="BC173" s="148"/>
      <c r="BE173" s="148"/>
      <c r="BG173" s="148"/>
      <c r="BI173" s="148"/>
      <c r="BK173" s="148"/>
      <c r="BM173" s="148"/>
      <c r="BO173" s="148"/>
      <c r="BQ173" s="148"/>
      <c r="BS173" s="148"/>
      <c r="BU173" s="148"/>
      <c r="BW173" s="148"/>
      <c r="BY173" s="148"/>
      <c r="CA173" s="148"/>
      <c r="CC173" s="148"/>
      <c r="CE173" s="148"/>
      <c r="CG173" s="148"/>
      <c r="CI173" s="148"/>
      <c r="CK173" s="148"/>
      <c r="CM173" s="148"/>
      <c r="CO173" s="148"/>
      <c r="CQ173" s="148"/>
      <c r="CS173" s="148"/>
      <c r="CU173" s="148"/>
      <c r="CW173" s="148"/>
      <c r="CY173" s="148"/>
      <c r="DA173" s="148"/>
      <c r="DC173" s="148"/>
      <c r="DE173" s="148"/>
      <c r="DG173" s="148"/>
      <c r="DI173" s="148"/>
      <c r="DK173" s="148"/>
      <c r="DM173" s="148"/>
      <c r="DO173" s="148"/>
      <c r="DQ173" s="148"/>
      <c r="DS173" s="148"/>
    </row>
    <row r="174" spans="1:123" x14ac:dyDescent="0.2">
      <c r="B174" s="103">
        <f>IF(AND('AES Indiana Bill Calc.'!$D$17="SS",'AES Indiana Bill Calc.'!$D$18="Yes 10%",'AES Indiana Bill Calc.'!$D$20="Yes 2023"),'AES Indiana Bill Calc.'!$D$19,-1)</f>
        <v>-1</v>
      </c>
      <c r="C174" s="1" t="s">
        <v>164</v>
      </c>
      <c r="D174" s="148"/>
      <c r="F174" s="36" t="s">
        <v>171</v>
      </c>
      <c r="G174" s="42">
        <f>SUM(J174:M174,O174:P174,R174:AA174)</f>
        <v>39.880000000000003</v>
      </c>
      <c r="H174" s="19" t="e">
        <f>IF(ISBLANK(B174),0,+#REF!/B174)</f>
        <v>#REF!</v>
      </c>
      <c r="I174" s="148"/>
      <c r="J174" s="82">
        <f>IF(ISBLANK(B174),0,IF(B174&gt;J$94,+J$93,+F$93))</f>
        <v>40</v>
      </c>
      <c r="K174" s="82">
        <f>IF($B174&gt;K$94,ROUND(K$94*K$93,2),ROUND($B174*K$93,2))</f>
        <v>-0.12</v>
      </c>
      <c r="L174" s="82">
        <f>IF($B174&gt;K$94,ROUND(($B174-K$94)*L$93,2),0)</f>
        <v>0</v>
      </c>
      <c r="M174" s="148"/>
      <c r="N174" s="42">
        <f>SUM(K174:L174)</f>
        <v>-0.12</v>
      </c>
      <c r="O174" s="148"/>
      <c r="P174" s="148"/>
      <c r="Q174" s="148"/>
      <c r="S174" s="42">
        <f>ROUND($B174*S$93*S173,2)</f>
        <v>0</v>
      </c>
      <c r="T174" s="42">
        <f>ROUND($B174*T$93,2)</f>
        <v>0</v>
      </c>
      <c r="U174" s="42">
        <f>ROUND($B174*U$93,2)</f>
        <v>0</v>
      </c>
      <c r="V174" s="41">
        <f>ROUND($B174*V$91,2)</f>
        <v>0</v>
      </c>
      <c r="W174" s="148"/>
      <c r="X174" s="42">
        <f>ROUND($B174*X$93,2)</f>
        <v>0</v>
      </c>
      <c r="Y174" s="42">
        <f>ROUND($B174*Y$93,2)</f>
        <v>0</v>
      </c>
      <c r="Z174" s="42">
        <f>ROUND($B174*Z$93,2)</f>
        <v>0</v>
      </c>
      <c r="AA174" s="42">
        <f>ROUND($B174*AA$93,2)</f>
        <v>0</v>
      </c>
      <c r="AB174" s="19">
        <f>SUM(U$93:AA$93)+(-V$93+V136)</f>
        <v>3.4420000000000006E-3</v>
      </c>
      <c r="AC174" s="148"/>
      <c r="AE174" s="148"/>
      <c r="AG174" s="148"/>
      <c r="AI174" s="148"/>
      <c r="AK174" s="148"/>
      <c r="AM174" s="148"/>
      <c r="AO174" s="148"/>
      <c r="AQ174" s="148"/>
      <c r="AS174" s="148"/>
      <c r="AU174" s="148"/>
      <c r="AW174" s="148"/>
      <c r="AY174" s="148"/>
      <c r="BA174" s="148"/>
      <c r="BC174" s="148"/>
      <c r="BE174" s="148"/>
      <c r="BG174" s="148"/>
      <c r="BI174" s="148"/>
      <c r="BK174" s="148"/>
      <c r="BM174" s="148"/>
      <c r="BO174" s="148"/>
      <c r="BQ174" s="148"/>
      <c r="BS174" s="148"/>
      <c r="BU174" s="148"/>
      <c r="BW174" s="148"/>
      <c r="BY174" s="148"/>
      <c r="CA174" s="148"/>
      <c r="CC174" s="148"/>
      <c r="CE174" s="148"/>
      <c r="CG174" s="148"/>
      <c r="CI174" s="148"/>
      <c r="CK174" s="148"/>
      <c r="CM174" s="148"/>
      <c r="CO174" s="148"/>
      <c r="CQ174" s="148"/>
      <c r="CS174" s="148"/>
      <c r="CU174" s="148"/>
      <c r="CW174" s="148"/>
      <c r="CY174" s="148"/>
      <c r="DA174" s="148"/>
      <c r="DC174" s="148"/>
      <c r="DE174" s="148"/>
      <c r="DG174" s="148"/>
      <c r="DI174" s="148"/>
      <c r="DK174" s="148"/>
      <c r="DM174" s="148"/>
      <c r="DO174" s="148"/>
      <c r="DQ174" s="148"/>
      <c r="DS174" s="148"/>
    </row>
    <row r="175" spans="1:123" x14ac:dyDescent="0.2">
      <c r="B175" s="97">
        <v>-1</v>
      </c>
      <c r="F175" s="36"/>
      <c r="G175" s="42"/>
      <c r="H175" s="19"/>
      <c r="I175" s="19"/>
      <c r="J175" s="82"/>
      <c r="K175" s="82"/>
      <c r="L175" s="82"/>
      <c r="M175" s="41"/>
      <c r="N175" s="41"/>
      <c r="O175" s="41"/>
      <c r="P175" s="41"/>
      <c r="Q175" s="41"/>
      <c r="R175" s="41"/>
      <c r="S175" s="50">
        <v>0</v>
      </c>
      <c r="T175" s="42"/>
      <c r="U175" s="42"/>
      <c r="V175" s="41"/>
      <c r="W175" s="42"/>
      <c r="X175" s="42"/>
      <c r="Y175" s="42"/>
      <c r="Z175" s="42"/>
      <c r="AA175" s="42"/>
      <c r="AB175" s="19"/>
      <c r="AC175" s="94"/>
      <c r="AE175" s="148"/>
      <c r="AG175" s="148"/>
      <c r="AI175" s="148"/>
      <c r="AK175" s="148"/>
      <c r="AM175" s="148"/>
      <c r="AO175" s="148"/>
      <c r="AQ175" s="148"/>
      <c r="AS175" s="148"/>
      <c r="AU175" s="148"/>
      <c r="AW175" s="148"/>
      <c r="AY175" s="148"/>
      <c r="BA175" s="148"/>
      <c r="BC175" s="148"/>
      <c r="BE175" s="148"/>
      <c r="BG175" s="148"/>
      <c r="BI175" s="148"/>
      <c r="BK175" s="148"/>
      <c r="BM175" s="148"/>
      <c r="BO175" s="148"/>
      <c r="BQ175" s="148"/>
      <c r="BS175" s="148"/>
      <c r="BU175" s="148"/>
      <c r="BW175" s="148"/>
      <c r="BY175" s="148"/>
      <c r="CA175" s="148"/>
      <c r="CC175" s="148"/>
      <c r="CE175" s="148"/>
      <c r="CG175" s="148"/>
      <c r="CI175" s="148"/>
      <c r="CK175" s="148"/>
      <c r="CM175" s="148"/>
      <c r="CO175" s="148"/>
      <c r="CQ175" s="148"/>
      <c r="CS175" s="148"/>
      <c r="CU175" s="148"/>
      <c r="CW175" s="148"/>
      <c r="CY175" s="148"/>
      <c r="DA175" s="148"/>
      <c r="DC175" s="148"/>
      <c r="DE175" s="148"/>
      <c r="DG175" s="148"/>
      <c r="DI175" s="148"/>
      <c r="DK175" s="148"/>
      <c r="DM175" s="148"/>
      <c r="DO175" s="148"/>
      <c r="DQ175" s="148"/>
      <c r="DS175" s="148"/>
    </row>
    <row r="176" spans="1:123" ht="13.5" thickBot="1" x14ac:dyDescent="0.25">
      <c r="A176" s="21"/>
      <c r="B176" s="106">
        <f>IF(AND('AES Indiana Bill Calc.'!$D$17="SS",'AES Indiana Bill Calc.'!$D$18="No",'AES Indiana Bill Calc.'!$D$20="Yes 2023"),'AES Indiana Bill Calc.'!$D$19,-1)</f>
        <v>-1</v>
      </c>
      <c r="C176" s="150" t="s">
        <v>147</v>
      </c>
      <c r="D176" s="125"/>
      <c r="E176" s="21"/>
      <c r="F176" s="79" t="s">
        <v>171</v>
      </c>
      <c r="G176" s="23">
        <f>SUM(J176:M176,O176:P176,R176:AA176)</f>
        <v>39.880000000000003</v>
      </c>
      <c r="H176" s="25" t="e">
        <f>IF(ISBLANK(B176),0,+#REF!/B176)</f>
        <v>#REF!</v>
      </c>
      <c r="I176" s="125"/>
      <c r="J176" s="22">
        <f>IF(ISBLANK(B176),0,IF(B176&gt;J$94,+J$93,+F$93))</f>
        <v>40</v>
      </c>
      <c r="K176" s="22">
        <f>IF($B176&gt;K$94,ROUND(K$94*K$93,2),ROUND($B176*K$93,2))</f>
        <v>-0.12</v>
      </c>
      <c r="L176" s="22">
        <f>IF($B176&gt;K$94,ROUND(($B176-K$94)*L$93,2),0)</f>
        <v>0</v>
      </c>
      <c r="M176" s="125"/>
      <c r="N176" s="23">
        <f>SUM(K176:L176)</f>
        <v>-0.12</v>
      </c>
      <c r="O176" s="125"/>
      <c r="P176" s="125"/>
      <c r="Q176" s="125"/>
      <c r="R176" s="21"/>
      <c r="S176" s="23">
        <f>ROUND($B176*S$93*S175,2)</f>
        <v>0</v>
      </c>
      <c r="T176" s="23">
        <f>ROUND($B176*T$93,2)</f>
        <v>0</v>
      </c>
      <c r="U176" s="23">
        <f>ROUND($B176*U$93,2)</f>
        <v>0</v>
      </c>
      <c r="V176" s="24">
        <f>ROUND($B176*V$91,2)</f>
        <v>0</v>
      </c>
      <c r="W176" s="125"/>
      <c r="X176" s="23">
        <f>ROUND($B176*X$93,2)</f>
        <v>0</v>
      </c>
      <c r="Y176" s="23">
        <f>ROUND($B176*Y$93,2)</f>
        <v>0</v>
      </c>
      <c r="Z176" s="23">
        <f>ROUND($B176*Z$93,2)</f>
        <v>0</v>
      </c>
      <c r="AA176" s="23">
        <f>ROUND($B176*AA$93,2)</f>
        <v>0</v>
      </c>
      <c r="AB176" s="25">
        <f>SUM(U$93:AA$93)+(-V$93+V138)</f>
        <v>3.4420000000000006E-3</v>
      </c>
      <c r="AC176" s="125"/>
      <c r="AE176" s="148"/>
      <c r="AG176" s="148"/>
      <c r="AI176" s="148"/>
      <c r="AK176" s="148"/>
      <c r="AM176" s="148"/>
      <c r="AO176" s="148"/>
      <c r="AQ176" s="148"/>
      <c r="AS176" s="148"/>
      <c r="AU176" s="148"/>
      <c r="AW176" s="148"/>
      <c r="AY176" s="148"/>
      <c r="BA176" s="148"/>
      <c r="BC176" s="148"/>
      <c r="BE176" s="148"/>
      <c r="BG176" s="148"/>
      <c r="BI176" s="148"/>
      <c r="BK176" s="148"/>
      <c r="BM176" s="148"/>
      <c r="BO176" s="148"/>
      <c r="BQ176" s="148"/>
      <c r="BS176" s="148"/>
      <c r="BU176" s="148"/>
      <c r="BW176" s="148"/>
      <c r="BY176" s="148"/>
      <c r="CA176" s="148"/>
      <c r="CC176" s="148"/>
      <c r="CE176" s="148"/>
      <c r="CG176" s="148"/>
      <c r="CI176" s="148"/>
      <c r="CK176" s="148"/>
      <c r="CM176" s="148"/>
      <c r="CO176" s="148"/>
      <c r="CQ176" s="148"/>
      <c r="CS176" s="148"/>
      <c r="CU176" s="148"/>
      <c r="CW176" s="148"/>
      <c r="CY176" s="148"/>
      <c r="DA176" s="148"/>
      <c r="DC176" s="148"/>
      <c r="DE176" s="148"/>
      <c r="DG176" s="148"/>
      <c r="DI176" s="148"/>
      <c r="DK176" s="148"/>
      <c r="DM176" s="148"/>
      <c r="DO176" s="148"/>
      <c r="DQ176" s="148"/>
      <c r="DS176" s="148"/>
    </row>
    <row r="177" spans="1:123" x14ac:dyDescent="0.2">
      <c r="B177" s="97">
        <v>-1</v>
      </c>
      <c r="C177" s="149"/>
      <c r="D177" s="148"/>
      <c r="F177" s="36"/>
      <c r="G177" s="42"/>
      <c r="H177" s="19"/>
      <c r="I177" s="148"/>
      <c r="J177" s="82"/>
      <c r="K177" s="82"/>
      <c r="L177" s="82"/>
      <c r="M177" s="148"/>
      <c r="N177" s="42"/>
      <c r="O177" s="148"/>
      <c r="P177" s="148"/>
      <c r="Q177" s="148"/>
      <c r="S177" s="50">
        <v>1</v>
      </c>
      <c r="T177" s="42"/>
      <c r="U177" s="42"/>
      <c r="V177" s="41"/>
      <c r="W177" s="148"/>
      <c r="X177" s="42"/>
      <c r="Y177" s="42"/>
      <c r="Z177" s="42"/>
      <c r="AA177" s="42"/>
      <c r="AB177" s="19"/>
      <c r="AC177" s="148"/>
      <c r="AE177" s="148"/>
      <c r="AG177" s="148"/>
      <c r="AI177" s="148"/>
      <c r="AK177" s="148"/>
      <c r="AM177" s="148"/>
      <c r="AO177" s="148"/>
      <c r="AQ177" s="148"/>
      <c r="AS177" s="148"/>
      <c r="AU177" s="148"/>
      <c r="AW177" s="148"/>
      <c r="AY177" s="148"/>
      <c r="BA177" s="148"/>
      <c r="BC177" s="148"/>
      <c r="BE177" s="148"/>
      <c r="BG177" s="148"/>
      <c r="BI177" s="148"/>
      <c r="BK177" s="148"/>
      <c r="BM177" s="148"/>
      <c r="BO177" s="148"/>
      <c r="BQ177" s="148"/>
      <c r="BS177" s="148"/>
      <c r="BU177" s="148"/>
      <c r="BW177" s="148"/>
      <c r="BY177" s="148"/>
      <c r="CA177" s="148"/>
      <c r="CC177" s="148"/>
      <c r="CE177" s="148"/>
      <c r="CG177" s="148"/>
      <c r="CI177" s="148"/>
      <c r="CK177" s="148"/>
      <c r="CM177" s="148"/>
      <c r="CO177" s="148"/>
      <c r="CQ177" s="148"/>
      <c r="CS177" s="148"/>
      <c r="CU177" s="148"/>
      <c r="CW177" s="148"/>
      <c r="CY177" s="148"/>
      <c r="DA177" s="148"/>
      <c r="DC177" s="148"/>
      <c r="DE177" s="148"/>
      <c r="DG177" s="148"/>
      <c r="DI177" s="148"/>
      <c r="DK177" s="148"/>
      <c r="DM177" s="148"/>
      <c r="DO177" s="148"/>
      <c r="DQ177" s="148"/>
      <c r="DS177" s="148"/>
    </row>
    <row r="178" spans="1:123" x14ac:dyDescent="0.2">
      <c r="B178" s="97">
        <f>IF(AND('AES Indiana Bill Calc.'!$D$17="SS",'AES Indiana Bill Calc.'!$D$18="Yes 100%",'AES Indiana Bill Calc.'!$D$20="Yes 2024"),'AES Indiana Bill Calc.'!$D$19,-1)</f>
        <v>-1</v>
      </c>
      <c r="C178" s="149" t="s">
        <v>148</v>
      </c>
      <c r="D178" s="148"/>
      <c r="F178" s="36" t="s">
        <v>309</v>
      </c>
      <c r="G178" s="42">
        <f>SUM(J178:M178,O178:P178,R178:AA178)</f>
        <v>39.880000000000003</v>
      </c>
      <c r="H178" s="19" t="e">
        <f>IF(ISBLANK(B178),0,+#REF!/B178)</f>
        <v>#REF!</v>
      </c>
      <c r="I178" s="148"/>
      <c r="J178" s="82">
        <f>IF(ISBLANK(B178),0,IF(B178&gt;J$94,+J$93,+F$93))</f>
        <v>40</v>
      </c>
      <c r="K178" s="82">
        <f>IF($B178&gt;K$94,ROUND(K$94*K$93,2),ROUND($B178*K$93,2))</f>
        <v>-0.12</v>
      </c>
      <c r="L178" s="82">
        <f>IF($B178&gt;K$94,ROUND(($B178-K$94)*L$93,2),0)</f>
        <v>0</v>
      </c>
      <c r="M178" s="148"/>
      <c r="N178" s="42">
        <f>SUM(K178:L178)</f>
        <v>-0.12</v>
      </c>
      <c r="O178" s="148"/>
      <c r="P178" s="148"/>
      <c r="Q178" s="148"/>
      <c r="S178" s="42">
        <f>ROUND($B178*S$93*S177,2)</f>
        <v>0</v>
      </c>
      <c r="T178" s="42">
        <f>ROUND($B178*T$93,2)</f>
        <v>0</v>
      </c>
      <c r="U178" s="42">
        <f>ROUND($B178*U$93,2)</f>
        <v>0</v>
      </c>
      <c r="V178" s="41">
        <f>ROUND($B178*V$92,2)</f>
        <v>0</v>
      </c>
      <c r="W178" s="148"/>
      <c r="X178" s="42">
        <f>ROUND($B178*X$93,2)</f>
        <v>0</v>
      </c>
      <c r="Y178" s="42">
        <f>ROUND($B178*Y$93,2)</f>
        <v>0</v>
      </c>
      <c r="Z178" s="42">
        <f>ROUND($B178*Z$93,2)</f>
        <v>0</v>
      </c>
      <c r="AA178" s="42">
        <f>ROUND($B178*AA$93,2)</f>
        <v>0</v>
      </c>
      <c r="AB178" s="19">
        <f>SUM(U$93:AA$93)+(-V$93+V140)</f>
        <v>3.4420000000000006E-3</v>
      </c>
      <c r="AC178" s="148"/>
      <c r="AE178" s="148"/>
      <c r="AG178" s="148"/>
      <c r="AI178" s="148"/>
      <c r="AK178" s="148"/>
      <c r="AM178" s="148"/>
      <c r="AO178" s="148"/>
      <c r="AQ178" s="148"/>
      <c r="AS178" s="148"/>
      <c r="AU178" s="148"/>
      <c r="AW178" s="148"/>
      <c r="AY178" s="148"/>
      <c r="BA178" s="148"/>
      <c r="BC178" s="148"/>
      <c r="BE178" s="148"/>
      <c r="BG178" s="148"/>
      <c r="BI178" s="148"/>
      <c r="BK178" s="148"/>
      <c r="BM178" s="148"/>
      <c r="BO178" s="148"/>
      <c r="BQ178" s="148"/>
      <c r="BS178" s="148"/>
      <c r="BU178" s="148"/>
      <c r="BW178" s="148"/>
      <c r="BY178" s="148"/>
      <c r="CA178" s="148"/>
      <c r="CC178" s="148"/>
      <c r="CE178" s="148"/>
      <c r="CG178" s="148"/>
      <c r="CI178" s="148"/>
      <c r="CK178" s="148"/>
      <c r="CM178" s="148"/>
      <c r="CO178" s="148"/>
      <c r="CQ178" s="148"/>
      <c r="CS178" s="148"/>
      <c r="CU178" s="148"/>
      <c r="CW178" s="148"/>
      <c r="CY178" s="148"/>
      <c r="DA178" s="148"/>
      <c r="DC178" s="148"/>
      <c r="DE178" s="148"/>
      <c r="DG178" s="148"/>
      <c r="DI178" s="148"/>
      <c r="DK178" s="148"/>
      <c r="DM178" s="148"/>
      <c r="DO178" s="148"/>
      <c r="DQ178" s="148"/>
      <c r="DS178" s="148"/>
    </row>
    <row r="179" spans="1:123" x14ac:dyDescent="0.2">
      <c r="B179" s="97">
        <v>-1</v>
      </c>
      <c r="C179" s="9"/>
      <c r="F179" s="36"/>
      <c r="G179" s="42"/>
      <c r="H179" s="19"/>
      <c r="I179" s="19"/>
      <c r="J179" s="82"/>
      <c r="K179" s="82"/>
      <c r="L179" s="82"/>
      <c r="M179" s="41"/>
      <c r="N179" s="41"/>
      <c r="O179" s="41"/>
      <c r="P179" s="41"/>
      <c r="Q179" s="41"/>
      <c r="R179" s="41"/>
      <c r="S179" s="50">
        <v>0.5</v>
      </c>
      <c r="T179" s="42"/>
      <c r="U179" s="42"/>
      <c r="V179" s="41"/>
      <c r="W179" s="42"/>
      <c r="X179" s="42"/>
      <c r="Y179" s="42"/>
      <c r="Z179" s="42"/>
      <c r="AA179" s="42"/>
      <c r="AB179" s="19"/>
      <c r="AC179" s="94"/>
      <c r="AE179" s="148"/>
      <c r="AG179" s="148"/>
      <c r="AI179" s="148"/>
      <c r="AK179" s="148"/>
      <c r="AM179" s="148"/>
      <c r="AO179" s="148"/>
      <c r="AQ179" s="148"/>
      <c r="AS179" s="148"/>
      <c r="AU179" s="148"/>
      <c r="AW179" s="148"/>
      <c r="AY179" s="148"/>
      <c r="BA179" s="148"/>
      <c r="BC179" s="148"/>
      <c r="BE179" s="148"/>
      <c r="BG179" s="148"/>
      <c r="BI179" s="148"/>
      <c r="BK179" s="148"/>
      <c r="BM179" s="148"/>
      <c r="BO179" s="148"/>
      <c r="BQ179" s="148"/>
      <c r="BS179" s="148"/>
      <c r="BU179" s="148"/>
      <c r="BW179" s="148"/>
      <c r="BY179" s="148"/>
      <c r="CA179" s="148"/>
      <c r="CC179" s="148"/>
      <c r="CE179" s="148"/>
      <c r="CG179" s="148"/>
      <c r="CI179" s="148"/>
      <c r="CK179" s="148"/>
      <c r="CM179" s="148"/>
      <c r="CO179" s="148"/>
      <c r="CQ179" s="148"/>
      <c r="CS179" s="148"/>
      <c r="CU179" s="148"/>
      <c r="CW179" s="148"/>
      <c r="CY179" s="148"/>
      <c r="DA179" s="148"/>
      <c r="DC179" s="148"/>
      <c r="DE179" s="148"/>
      <c r="DG179" s="148"/>
      <c r="DI179" s="148"/>
      <c r="DK179" s="148"/>
      <c r="DM179" s="148"/>
      <c r="DO179" s="148"/>
      <c r="DQ179" s="148"/>
      <c r="DS179" s="148"/>
    </row>
    <row r="180" spans="1:123" x14ac:dyDescent="0.2">
      <c r="B180" s="103">
        <f>IF(AND('AES Indiana Bill Calc.'!$D$17="SS",'AES Indiana Bill Calc.'!$D$18="Yes 50%",'AES Indiana Bill Calc.'!$D$20="Yes 2024"),'AES Indiana Bill Calc.'!$D$19,-1)</f>
        <v>-1</v>
      </c>
      <c r="C180" s="1" t="s">
        <v>149</v>
      </c>
      <c r="D180" s="148"/>
      <c r="F180" s="36" t="s">
        <v>309</v>
      </c>
      <c r="G180" s="42">
        <f>SUM(J180:M180,O180:P180,R180:AA180)</f>
        <v>39.880000000000003</v>
      </c>
      <c r="H180" s="19" t="e">
        <f>IF(ISBLANK(B180),0,+#REF!/B180)</f>
        <v>#REF!</v>
      </c>
      <c r="I180" s="148"/>
      <c r="J180" s="82">
        <f>IF(ISBLANK(B180),0,IF(B180&gt;J$94,+J$93,+F$93))</f>
        <v>40</v>
      </c>
      <c r="K180" s="82">
        <f>IF($B180&gt;K$94,ROUND(K$94*K$93,2),ROUND($B180*K$93,2))</f>
        <v>-0.12</v>
      </c>
      <c r="L180" s="82">
        <f>IF($B180&gt;K$94,ROUND(($B180-K$94)*L$93,2),0)</f>
        <v>0</v>
      </c>
      <c r="M180" s="148"/>
      <c r="N180" s="42">
        <f>SUM(K180:L180)</f>
        <v>-0.12</v>
      </c>
      <c r="O180" s="148"/>
      <c r="P180" s="148"/>
      <c r="Q180" s="148"/>
      <c r="S180" s="42">
        <f>ROUND($B180*S$93*S179,2)</f>
        <v>0</v>
      </c>
      <c r="T180" s="42">
        <f>ROUND($B180*T$93,2)</f>
        <v>0</v>
      </c>
      <c r="U180" s="42">
        <f>ROUND($B180*U$93,2)</f>
        <v>0</v>
      </c>
      <c r="V180" s="41">
        <f>ROUND($B180*V$92,2)</f>
        <v>0</v>
      </c>
      <c r="W180" s="148"/>
      <c r="X180" s="42">
        <f>ROUND($B180*X$93,2)</f>
        <v>0</v>
      </c>
      <c r="Y180" s="42">
        <f>ROUND($B180*Y$93,2)</f>
        <v>0</v>
      </c>
      <c r="Z180" s="42">
        <f>ROUND($B180*Z$93,2)</f>
        <v>0</v>
      </c>
      <c r="AA180" s="42">
        <f>ROUND($B180*AA$93,2)</f>
        <v>0</v>
      </c>
      <c r="AB180" s="19">
        <f>SUM(U$93:AA$93)+(-V$93+V142)</f>
        <v>3.4420000000000006E-3</v>
      </c>
      <c r="AC180" s="148"/>
      <c r="AE180" s="148"/>
      <c r="AG180" s="148"/>
      <c r="AI180" s="148"/>
      <c r="AK180" s="148"/>
      <c r="AM180" s="148"/>
      <c r="AO180" s="148"/>
      <c r="AQ180" s="148"/>
      <c r="AS180" s="148"/>
      <c r="AU180" s="148"/>
      <c r="AW180" s="148"/>
      <c r="AY180" s="148"/>
      <c r="BA180" s="148"/>
      <c r="BC180" s="148"/>
      <c r="BE180" s="148"/>
      <c r="BG180" s="148"/>
      <c r="BI180" s="148"/>
      <c r="BK180" s="148"/>
      <c r="BM180" s="148"/>
      <c r="BO180" s="148"/>
      <c r="BQ180" s="148"/>
      <c r="BS180" s="148"/>
      <c r="BU180" s="148"/>
      <c r="BW180" s="148"/>
      <c r="BY180" s="148"/>
      <c r="CA180" s="148"/>
      <c r="CC180" s="148"/>
      <c r="CE180" s="148"/>
      <c r="CG180" s="148"/>
      <c r="CI180" s="148"/>
      <c r="CK180" s="148"/>
      <c r="CM180" s="148"/>
      <c r="CO180" s="148"/>
      <c r="CQ180" s="148"/>
      <c r="CS180" s="148"/>
      <c r="CU180" s="148"/>
      <c r="CW180" s="148"/>
      <c r="CY180" s="148"/>
      <c r="DA180" s="148"/>
      <c r="DC180" s="148"/>
      <c r="DE180" s="148"/>
      <c r="DG180" s="148"/>
      <c r="DI180" s="148"/>
      <c r="DK180" s="148"/>
      <c r="DM180" s="148"/>
      <c r="DO180" s="148"/>
      <c r="DQ180" s="148"/>
      <c r="DS180" s="148"/>
    </row>
    <row r="181" spans="1:123" x14ac:dyDescent="0.2">
      <c r="B181" s="97">
        <v>-1</v>
      </c>
      <c r="C181" s="9"/>
      <c r="F181" s="36"/>
      <c r="G181" s="42"/>
      <c r="H181" s="19"/>
      <c r="I181" s="19"/>
      <c r="J181" s="82"/>
      <c r="K181" s="82"/>
      <c r="L181" s="82"/>
      <c r="M181" s="41"/>
      <c r="N181" s="41"/>
      <c r="O181" s="41"/>
      <c r="P181" s="41"/>
      <c r="Q181" s="41"/>
      <c r="R181" s="41"/>
      <c r="S181" s="50">
        <v>0.25</v>
      </c>
      <c r="T181" s="42"/>
      <c r="U181" s="42"/>
      <c r="V181" s="41"/>
      <c r="W181" s="42"/>
      <c r="X181" s="42"/>
      <c r="Y181" s="42"/>
      <c r="Z181" s="42"/>
      <c r="AA181" s="42"/>
      <c r="AB181" s="19"/>
      <c r="AC181" s="94"/>
      <c r="AE181" s="148"/>
      <c r="AG181" s="148"/>
      <c r="AI181" s="148"/>
      <c r="AK181" s="148"/>
      <c r="AM181" s="148"/>
      <c r="AO181" s="148"/>
      <c r="AQ181" s="148"/>
      <c r="AS181" s="148"/>
      <c r="AU181" s="148"/>
      <c r="AW181" s="148"/>
      <c r="AY181" s="148"/>
      <c r="BA181" s="148"/>
      <c r="BC181" s="148"/>
      <c r="BE181" s="148"/>
      <c r="BG181" s="148"/>
      <c r="BI181" s="148"/>
      <c r="BK181" s="148"/>
      <c r="BM181" s="148"/>
      <c r="BO181" s="148"/>
      <c r="BQ181" s="148"/>
      <c r="BS181" s="148"/>
      <c r="BU181" s="148"/>
      <c r="BW181" s="148"/>
      <c r="BY181" s="148"/>
      <c r="CA181" s="148"/>
      <c r="CC181" s="148"/>
      <c r="CE181" s="148"/>
      <c r="CG181" s="148"/>
      <c r="CI181" s="148"/>
      <c r="CK181" s="148"/>
      <c r="CM181" s="148"/>
      <c r="CO181" s="148"/>
      <c r="CQ181" s="148"/>
      <c r="CS181" s="148"/>
      <c r="CU181" s="148"/>
      <c r="CW181" s="148"/>
      <c r="CY181" s="148"/>
      <c r="DA181" s="148"/>
      <c r="DC181" s="148"/>
      <c r="DE181" s="148"/>
      <c r="DG181" s="148"/>
      <c r="DI181" s="148"/>
      <c r="DK181" s="148"/>
      <c r="DM181" s="148"/>
      <c r="DO181" s="148"/>
      <c r="DQ181" s="148"/>
      <c r="DS181" s="148"/>
    </row>
    <row r="182" spans="1:123" x14ac:dyDescent="0.2">
      <c r="B182" s="103">
        <f>IF(AND('AES Indiana Bill Calc.'!$D$17="SS",'AES Indiana Bill Calc.'!$D$18="Yes 25%",'AES Indiana Bill Calc.'!$D$20="Yes 2024"),'AES Indiana Bill Calc.'!$D$19,-1)</f>
        <v>-1</v>
      </c>
      <c r="C182" s="1" t="s">
        <v>150</v>
      </c>
      <c r="D182" s="148"/>
      <c r="F182" s="36" t="s">
        <v>309</v>
      </c>
      <c r="G182" s="42">
        <f>SUM(J182:M182,O182:P182,R182:AA182)</f>
        <v>39.880000000000003</v>
      </c>
      <c r="H182" s="19" t="e">
        <f>IF(ISBLANK(B182),0,+#REF!/B182)</f>
        <v>#REF!</v>
      </c>
      <c r="I182" s="148"/>
      <c r="J182" s="82">
        <f>IF(ISBLANK(B182),0,IF(B182&gt;J$94,+J$93,+F$93))</f>
        <v>40</v>
      </c>
      <c r="K182" s="82">
        <f>IF($B182&gt;K$94,ROUND(K$94*K$93,2),ROUND($B182*K$93,2))</f>
        <v>-0.12</v>
      </c>
      <c r="L182" s="82">
        <f>IF($B182&gt;K$94,ROUND(($B182-K$94)*L$93,2),0)</f>
        <v>0</v>
      </c>
      <c r="M182" s="148"/>
      <c r="N182" s="42">
        <f>SUM(K182:L182)</f>
        <v>-0.12</v>
      </c>
      <c r="O182" s="148"/>
      <c r="P182" s="148"/>
      <c r="Q182" s="148"/>
      <c r="S182" s="42">
        <f>ROUND($B182*S$93*S181,2)</f>
        <v>0</v>
      </c>
      <c r="T182" s="42">
        <f>ROUND($B182*T$93,2)</f>
        <v>0</v>
      </c>
      <c r="U182" s="42">
        <f>ROUND($B182*U$93,2)</f>
        <v>0</v>
      </c>
      <c r="V182" s="41">
        <f>ROUND($B182*V$92,2)</f>
        <v>0</v>
      </c>
      <c r="W182" s="148"/>
      <c r="X182" s="42">
        <f>ROUND($B182*X$93,2)</f>
        <v>0</v>
      </c>
      <c r="Y182" s="42">
        <f>ROUND($B182*Y$93,2)</f>
        <v>0</v>
      </c>
      <c r="Z182" s="42">
        <f>ROUND($B182*Z$93,2)</f>
        <v>0</v>
      </c>
      <c r="AA182" s="42">
        <f>ROUND($B182*AA$93,2)</f>
        <v>0</v>
      </c>
      <c r="AB182" s="19">
        <f>SUM(U$93:AA$93)+(-V$93+V144)</f>
        <v>3.4420000000000006E-3</v>
      </c>
      <c r="AC182" s="148"/>
      <c r="AE182" s="148"/>
      <c r="AG182" s="148"/>
      <c r="AI182" s="148"/>
      <c r="AK182" s="148"/>
      <c r="AM182" s="148"/>
      <c r="AO182" s="148"/>
      <c r="AQ182" s="148"/>
      <c r="AS182" s="148"/>
      <c r="AU182" s="148"/>
      <c r="AW182" s="148"/>
      <c r="AY182" s="148"/>
      <c r="BA182" s="148"/>
      <c r="BC182" s="148"/>
      <c r="BE182" s="148"/>
      <c r="BG182" s="148"/>
      <c r="BI182" s="148"/>
      <c r="BK182" s="148"/>
      <c r="BM182" s="148"/>
      <c r="BO182" s="148"/>
      <c r="BQ182" s="148"/>
      <c r="BS182" s="148"/>
      <c r="BU182" s="148"/>
      <c r="BW182" s="148"/>
      <c r="BY182" s="148"/>
      <c r="CA182" s="148"/>
      <c r="CC182" s="148"/>
      <c r="CE182" s="148"/>
      <c r="CG182" s="148"/>
      <c r="CI182" s="148"/>
      <c r="CK182" s="148"/>
      <c r="CM182" s="148"/>
      <c r="CO182" s="148"/>
      <c r="CQ182" s="148"/>
      <c r="CS182" s="148"/>
      <c r="CU182" s="148"/>
      <c r="CW182" s="148"/>
      <c r="CY182" s="148"/>
      <c r="DA182" s="148"/>
      <c r="DC182" s="148"/>
      <c r="DE182" s="148"/>
      <c r="DG182" s="148"/>
      <c r="DI182" s="148"/>
      <c r="DK182" s="148"/>
      <c r="DM182" s="148"/>
      <c r="DO182" s="148"/>
      <c r="DQ182" s="148"/>
      <c r="DS182" s="148"/>
    </row>
    <row r="183" spans="1:123" x14ac:dyDescent="0.2">
      <c r="B183" s="97">
        <v>-1</v>
      </c>
      <c r="C183" s="9"/>
      <c r="F183" s="36"/>
      <c r="G183" s="42"/>
      <c r="H183" s="19"/>
      <c r="I183" s="19"/>
      <c r="J183" s="82"/>
      <c r="K183" s="82"/>
      <c r="L183" s="82"/>
      <c r="M183" s="41"/>
      <c r="N183" s="41"/>
      <c r="O183" s="41"/>
      <c r="P183" s="41"/>
      <c r="Q183" s="41"/>
      <c r="R183" s="41"/>
      <c r="S183" s="50">
        <v>0.1</v>
      </c>
      <c r="T183" s="42"/>
      <c r="U183" s="42"/>
      <c r="V183" s="41"/>
      <c r="W183" s="42"/>
      <c r="X183" s="42"/>
      <c r="Y183" s="42"/>
      <c r="Z183" s="42"/>
      <c r="AA183" s="42"/>
      <c r="AB183" s="19"/>
      <c r="AC183" s="94"/>
      <c r="AE183" s="148"/>
      <c r="AG183" s="148"/>
      <c r="AI183" s="148"/>
      <c r="AK183" s="148"/>
      <c r="AM183" s="148"/>
      <c r="AO183" s="148"/>
      <c r="AQ183" s="148"/>
      <c r="AS183" s="148"/>
      <c r="AU183" s="148"/>
      <c r="AW183" s="148"/>
      <c r="AY183" s="148"/>
      <c r="BA183" s="148"/>
      <c r="BC183" s="148"/>
      <c r="BE183" s="148"/>
      <c r="BG183" s="148"/>
      <c r="BI183" s="148"/>
      <c r="BK183" s="148"/>
      <c r="BM183" s="148"/>
      <c r="BO183" s="148"/>
      <c r="BQ183" s="148"/>
      <c r="BS183" s="148"/>
      <c r="BU183" s="148"/>
      <c r="BW183" s="148"/>
      <c r="BY183" s="148"/>
      <c r="CA183" s="148"/>
      <c r="CC183" s="148"/>
      <c r="CE183" s="148"/>
      <c r="CG183" s="148"/>
      <c r="CI183" s="148"/>
      <c r="CK183" s="148"/>
      <c r="CM183" s="148"/>
      <c r="CO183" s="148"/>
      <c r="CQ183" s="148"/>
      <c r="CS183" s="148"/>
      <c r="CU183" s="148"/>
      <c r="CW183" s="148"/>
      <c r="CY183" s="148"/>
      <c r="DA183" s="148"/>
      <c r="DC183" s="148"/>
      <c r="DE183" s="148"/>
      <c r="DG183" s="148"/>
      <c r="DI183" s="148"/>
      <c r="DK183" s="148"/>
      <c r="DM183" s="148"/>
      <c r="DO183" s="148"/>
      <c r="DQ183" s="148"/>
      <c r="DS183" s="148"/>
    </row>
    <row r="184" spans="1:123" x14ac:dyDescent="0.2">
      <c r="B184" s="103">
        <f>IF(AND('AES Indiana Bill Calc.'!$D$17="SS",'AES Indiana Bill Calc.'!$D$18="Yes 10%",'AES Indiana Bill Calc.'!$D$20="Yes 2024"),'AES Indiana Bill Calc.'!$D$19,-1)</f>
        <v>-1</v>
      </c>
      <c r="C184" s="1" t="s">
        <v>164</v>
      </c>
      <c r="D184" s="148"/>
      <c r="F184" s="36" t="s">
        <v>309</v>
      </c>
      <c r="G184" s="42">
        <f>SUM(J184:M184,O184:P184,R184:AA184)</f>
        <v>39.880000000000003</v>
      </c>
      <c r="H184" s="19" t="e">
        <f>IF(ISBLANK(B184),0,+#REF!/B184)</f>
        <v>#REF!</v>
      </c>
      <c r="I184" s="148"/>
      <c r="J184" s="82">
        <f>IF(ISBLANK(B184),0,IF(B184&gt;J$94,+J$93,+F$93))</f>
        <v>40</v>
      </c>
      <c r="K184" s="82">
        <f>IF($B184&gt;K$94,ROUND(K$94*K$93,2),ROUND($B184*K$93,2))</f>
        <v>-0.12</v>
      </c>
      <c r="L184" s="82">
        <f>IF($B184&gt;K$94,ROUND(($B184-K$94)*L$93,2),0)</f>
        <v>0</v>
      </c>
      <c r="M184" s="148"/>
      <c r="N184" s="42">
        <f>SUM(K184:L184)</f>
        <v>-0.12</v>
      </c>
      <c r="O184" s="148"/>
      <c r="P184" s="148"/>
      <c r="Q184" s="148"/>
      <c r="S184" s="42">
        <f>ROUND($B184*S$93*S183,2)</f>
        <v>0</v>
      </c>
      <c r="T184" s="42">
        <f>ROUND($B184*T$93,2)</f>
        <v>0</v>
      </c>
      <c r="U184" s="42">
        <f>ROUND($B184*U$93,2)</f>
        <v>0</v>
      </c>
      <c r="V184" s="41">
        <f>ROUND($B184*V$92,2)</f>
        <v>0</v>
      </c>
      <c r="W184" s="148"/>
      <c r="X184" s="42">
        <f>ROUND($B184*X$93,2)</f>
        <v>0</v>
      </c>
      <c r="Y184" s="42">
        <f>ROUND($B184*Y$93,2)</f>
        <v>0</v>
      </c>
      <c r="Z184" s="42">
        <f>ROUND($B184*Z$93,2)</f>
        <v>0</v>
      </c>
      <c r="AA184" s="42">
        <f>ROUND($B184*AA$93,2)</f>
        <v>0</v>
      </c>
      <c r="AB184" s="19">
        <f>SUM(U$93:AA$93)+(-V$93+V146)</f>
        <v>3.4420000000000006E-3</v>
      </c>
      <c r="AC184" s="148"/>
      <c r="AE184" s="148"/>
      <c r="AG184" s="148"/>
      <c r="AI184" s="148"/>
      <c r="AK184" s="148"/>
      <c r="AM184" s="148"/>
      <c r="AO184" s="148"/>
      <c r="AQ184" s="148"/>
      <c r="AS184" s="148"/>
      <c r="AU184" s="148"/>
      <c r="AW184" s="148"/>
      <c r="AY184" s="148"/>
      <c r="BA184" s="148"/>
      <c r="BC184" s="148"/>
      <c r="BE184" s="148"/>
      <c r="BG184" s="148"/>
      <c r="BI184" s="148"/>
      <c r="BK184" s="148"/>
      <c r="BM184" s="148"/>
      <c r="BO184" s="148"/>
      <c r="BQ184" s="148"/>
      <c r="BS184" s="148"/>
      <c r="BU184" s="148"/>
      <c r="BW184" s="148"/>
      <c r="BY184" s="148"/>
      <c r="CA184" s="148"/>
      <c r="CC184" s="148"/>
      <c r="CE184" s="148"/>
      <c r="CG184" s="148"/>
      <c r="CI184" s="148"/>
      <c r="CK184" s="148"/>
      <c r="CM184" s="148"/>
      <c r="CO184" s="148"/>
      <c r="CQ184" s="148"/>
      <c r="CS184" s="148"/>
      <c r="CU184" s="148"/>
      <c r="CW184" s="148"/>
      <c r="CY184" s="148"/>
      <c r="DA184" s="148"/>
      <c r="DC184" s="148"/>
      <c r="DE184" s="148"/>
      <c r="DG184" s="148"/>
      <c r="DI184" s="148"/>
      <c r="DK184" s="148"/>
      <c r="DM184" s="148"/>
      <c r="DO184" s="148"/>
      <c r="DQ184" s="148"/>
      <c r="DS184" s="148"/>
    </row>
    <row r="185" spans="1:123" x14ac:dyDescent="0.2">
      <c r="B185" s="97">
        <v>-1</v>
      </c>
      <c r="F185" s="36"/>
      <c r="G185" s="42"/>
      <c r="H185" s="19"/>
      <c r="I185" s="19"/>
      <c r="J185" s="82"/>
      <c r="K185" s="82"/>
      <c r="L185" s="82"/>
      <c r="M185" s="41"/>
      <c r="N185" s="41"/>
      <c r="O185" s="41"/>
      <c r="P185" s="41"/>
      <c r="Q185" s="41"/>
      <c r="R185" s="41"/>
      <c r="S185" s="50">
        <v>0</v>
      </c>
      <c r="T185" s="42"/>
      <c r="U185" s="42"/>
      <c r="V185" s="41"/>
      <c r="W185" s="42"/>
      <c r="X185" s="42"/>
      <c r="Y185" s="42"/>
      <c r="Z185" s="42"/>
      <c r="AA185" s="42"/>
      <c r="AB185" s="19"/>
      <c r="AC185" s="94"/>
      <c r="AE185" s="148"/>
      <c r="AG185" s="148"/>
      <c r="AI185" s="148"/>
      <c r="AK185" s="148"/>
      <c r="AM185" s="148"/>
      <c r="AO185" s="148"/>
      <c r="AQ185" s="148"/>
      <c r="AS185" s="148"/>
      <c r="AU185" s="148"/>
      <c r="AW185" s="148"/>
      <c r="AY185" s="148"/>
      <c r="BA185" s="148"/>
      <c r="BC185" s="148"/>
      <c r="BE185" s="148"/>
      <c r="BG185" s="148"/>
      <c r="BI185" s="148"/>
      <c r="BK185" s="148"/>
      <c r="BM185" s="148"/>
      <c r="BO185" s="148"/>
      <c r="BQ185" s="148"/>
      <c r="BS185" s="148"/>
      <c r="BU185" s="148"/>
      <c r="BW185" s="148"/>
      <c r="BY185" s="148"/>
      <c r="CA185" s="148"/>
      <c r="CC185" s="148"/>
      <c r="CE185" s="148"/>
      <c r="CG185" s="148"/>
      <c r="CI185" s="148"/>
      <c r="CK185" s="148"/>
      <c r="CM185" s="148"/>
      <c r="CO185" s="148"/>
      <c r="CQ185" s="148"/>
      <c r="CS185" s="148"/>
      <c r="CU185" s="148"/>
      <c r="CW185" s="148"/>
      <c r="CY185" s="148"/>
      <c r="DA185" s="148"/>
      <c r="DC185" s="148"/>
      <c r="DE185" s="148"/>
      <c r="DG185" s="148"/>
      <c r="DI185" s="148"/>
      <c r="DK185" s="148"/>
      <c r="DM185" s="148"/>
      <c r="DO185" s="148"/>
      <c r="DQ185" s="148"/>
      <c r="DS185" s="148"/>
    </row>
    <row r="186" spans="1:123" ht="13.5" thickBot="1" x14ac:dyDescent="0.25">
      <c r="A186" s="21"/>
      <c r="B186" s="106">
        <f>IF(AND('AES Indiana Bill Calc.'!$D$17="SS",'AES Indiana Bill Calc.'!$D$18="No",'AES Indiana Bill Calc.'!$D$20="Yes 2024"),'AES Indiana Bill Calc.'!$D$19,-1)</f>
        <v>-1</v>
      </c>
      <c r="C186" s="150" t="s">
        <v>147</v>
      </c>
      <c r="D186" s="125"/>
      <c r="E186" s="21"/>
      <c r="F186" s="36" t="s">
        <v>309</v>
      </c>
      <c r="G186" s="23">
        <f>SUM(J186:M186,O186:P186,R186:AA186)</f>
        <v>39.880000000000003</v>
      </c>
      <c r="H186" s="25" t="e">
        <f>IF(ISBLANK(B186),0,+#REF!/B186)</f>
        <v>#REF!</v>
      </c>
      <c r="I186" s="125"/>
      <c r="J186" s="22">
        <f>IF(ISBLANK(B186),0,IF(B186&gt;J$94,+J$93,+F$93))</f>
        <v>40</v>
      </c>
      <c r="K186" s="22">
        <f>IF($B186&gt;K$94,ROUND(K$94*K$93,2),ROUND($B186*K$93,2))</f>
        <v>-0.12</v>
      </c>
      <c r="L186" s="22">
        <f>IF($B186&gt;K$94,ROUND(($B186-K$94)*L$93,2),0)</f>
        <v>0</v>
      </c>
      <c r="M186" s="125"/>
      <c r="N186" s="23">
        <f>SUM(K186:L186)</f>
        <v>-0.12</v>
      </c>
      <c r="O186" s="125"/>
      <c r="P186" s="125"/>
      <c r="Q186" s="125"/>
      <c r="R186" s="21"/>
      <c r="S186" s="23">
        <f>ROUND($B186*S$93*S185,2)</f>
        <v>0</v>
      </c>
      <c r="T186" s="23">
        <f>ROUND($B186*T$93,2)</f>
        <v>0</v>
      </c>
      <c r="U186" s="23">
        <f>ROUND($B186*U$93,2)</f>
        <v>0</v>
      </c>
      <c r="V186" s="24">
        <f>ROUND($B186*V$92,2)</f>
        <v>0</v>
      </c>
      <c r="W186" s="125"/>
      <c r="X186" s="23">
        <f>ROUND($B186*X$93,2)</f>
        <v>0</v>
      </c>
      <c r="Y186" s="23">
        <f>ROUND($B186*Y$93,2)</f>
        <v>0</v>
      </c>
      <c r="Z186" s="23">
        <f>ROUND($B186*Z$93,2)</f>
        <v>0</v>
      </c>
      <c r="AA186" s="23">
        <f>ROUND($B186*AA$93,2)</f>
        <v>0</v>
      </c>
      <c r="AB186" s="25">
        <f>SUM(U$93:AA$93)+(-V$93+V148)</f>
        <v>3.4420000000000006E-3</v>
      </c>
      <c r="AC186" s="125"/>
      <c r="AE186" s="148"/>
      <c r="AG186" s="148"/>
      <c r="AI186" s="148"/>
      <c r="AK186" s="148"/>
      <c r="AM186" s="148"/>
      <c r="AO186" s="148"/>
      <c r="AQ186" s="148"/>
      <c r="AS186" s="148"/>
      <c r="AU186" s="148"/>
      <c r="AW186" s="148"/>
      <c r="AY186" s="148"/>
      <c r="BA186" s="148"/>
      <c r="BC186" s="148"/>
      <c r="BE186" s="148"/>
      <c r="BG186" s="148"/>
      <c r="BI186" s="148"/>
      <c r="BK186" s="148"/>
      <c r="BM186" s="148"/>
      <c r="BO186" s="148"/>
      <c r="BQ186" s="148"/>
      <c r="BS186" s="148"/>
      <c r="BU186" s="148"/>
      <c r="BW186" s="148"/>
      <c r="BY186" s="148"/>
      <c r="CA186" s="148"/>
      <c r="CC186" s="148"/>
      <c r="CE186" s="148"/>
      <c r="CG186" s="148"/>
      <c r="CI186" s="148"/>
      <c r="CK186" s="148"/>
      <c r="CM186" s="148"/>
      <c r="CO186" s="148"/>
      <c r="CQ186" s="148"/>
      <c r="CS186" s="148"/>
      <c r="CU186" s="148"/>
      <c r="CW186" s="148"/>
      <c r="CY186" s="148"/>
      <c r="DA186" s="148"/>
      <c r="DC186" s="148"/>
      <c r="DE186" s="148"/>
      <c r="DG186" s="148"/>
      <c r="DI186" s="148"/>
      <c r="DK186" s="148"/>
      <c r="DM186" s="148"/>
      <c r="DO186" s="148"/>
      <c r="DQ186" s="148"/>
      <c r="DS186" s="148"/>
    </row>
    <row r="187" spans="1:123" x14ac:dyDescent="0.2">
      <c r="B187" s="97">
        <v>-1</v>
      </c>
      <c r="C187" s="1"/>
      <c r="D187" s="148"/>
      <c r="F187" s="36"/>
      <c r="G187" s="17"/>
      <c r="H187" s="19"/>
      <c r="I187" s="148"/>
      <c r="J187" s="82"/>
      <c r="K187" s="82"/>
      <c r="L187" s="82"/>
      <c r="M187" s="148"/>
      <c r="N187" s="17"/>
      <c r="O187" s="148"/>
      <c r="P187" s="148"/>
      <c r="Q187" s="148"/>
      <c r="S187" s="42"/>
      <c r="T187" s="42"/>
      <c r="U187" s="42"/>
      <c r="V187" s="41"/>
      <c r="W187" s="148"/>
      <c r="X187" s="42"/>
      <c r="Y187" s="42"/>
      <c r="Z187" s="42"/>
      <c r="AA187" s="42"/>
      <c r="AB187" s="19"/>
      <c r="AC187" s="148"/>
      <c r="AE187" s="148"/>
      <c r="AG187" s="148"/>
      <c r="AI187" s="148"/>
      <c r="AK187" s="148"/>
      <c r="AM187" s="148"/>
      <c r="AO187" s="148"/>
      <c r="AQ187" s="148"/>
      <c r="AS187" s="148"/>
      <c r="AU187" s="148"/>
      <c r="AW187" s="148"/>
      <c r="AY187" s="148"/>
      <c r="BA187" s="148"/>
      <c r="BC187" s="148"/>
      <c r="BE187" s="148"/>
      <c r="BG187" s="148"/>
      <c r="BI187" s="148"/>
      <c r="BK187" s="148"/>
      <c r="BM187" s="148"/>
      <c r="BO187" s="148"/>
      <c r="BQ187" s="148"/>
      <c r="BS187" s="148"/>
      <c r="BU187" s="148"/>
      <c r="BW187" s="148"/>
      <c r="BY187" s="148"/>
      <c r="CA187" s="148"/>
      <c r="CC187" s="148"/>
      <c r="CE187" s="148"/>
      <c r="CG187" s="148"/>
      <c r="CI187" s="148"/>
      <c r="CK187" s="148"/>
      <c r="CM187" s="148"/>
      <c r="CO187" s="148"/>
      <c r="CQ187" s="148"/>
      <c r="CS187" s="148"/>
      <c r="CU187" s="148"/>
      <c r="CW187" s="148"/>
      <c r="CY187" s="148"/>
      <c r="DA187" s="148"/>
      <c r="DC187" s="148"/>
      <c r="DE187" s="148"/>
      <c r="DG187" s="148"/>
      <c r="DI187" s="148"/>
      <c r="DK187" s="148"/>
      <c r="DM187" s="148"/>
      <c r="DO187" s="148"/>
      <c r="DQ187" s="148"/>
      <c r="DS187" s="148"/>
    </row>
    <row r="188" spans="1:123" x14ac:dyDescent="0.2">
      <c r="B188" s="97">
        <v>-1</v>
      </c>
      <c r="C188" s="80"/>
      <c r="F188" s="36"/>
      <c r="G188" s="42"/>
      <c r="H188" s="19"/>
      <c r="I188" s="19"/>
      <c r="J188" s="82"/>
      <c r="K188" s="82"/>
      <c r="L188" s="82"/>
      <c r="M188" s="41"/>
      <c r="N188" s="41"/>
      <c r="O188" s="41"/>
      <c r="P188" s="41"/>
      <c r="Q188" s="41"/>
      <c r="R188" s="41"/>
      <c r="S188" s="42"/>
      <c r="T188" s="42"/>
      <c r="U188" s="42"/>
      <c r="V188" s="41"/>
      <c r="W188" s="42"/>
      <c r="X188" s="42"/>
      <c r="Y188" s="42"/>
      <c r="Z188" s="42"/>
      <c r="AA188" s="42"/>
      <c r="AB188" s="19"/>
      <c r="AC188" s="94"/>
    </row>
    <row r="189" spans="1:123" x14ac:dyDescent="0.2">
      <c r="B189" s="103">
        <v>-1</v>
      </c>
      <c r="C189" s="9"/>
      <c r="F189" s="36"/>
      <c r="G189" s="17"/>
      <c r="H189" s="19"/>
      <c r="I189" s="19"/>
      <c r="J189" s="16"/>
      <c r="K189" s="16"/>
      <c r="L189" s="16"/>
      <c r="M189" s="8"/>
      <c r="N189" s="8"/>
      <c r="O189" s="8"/>
      <c r="P189" s="8"/>
      <c r="Q189" s="8"/>
      <c r="R189" s="8"/>
      <c r="S189" s="17"/>
      <c r="T189" s="17"/>
      <c r="U189" s="17"/>
      <c r="V189" s="27">
        <f>+T9</f>
        <v>0</v>
      </c>
      <c r="W189" s="6" t="s">
        <v>172</v>
      </c>
      <c r="X189" s="17"/>
      <c r="Y189" s="17"/>
      <c r="Z189" s="17"/>
      <c r="AA189" s="17"/>
      <c r="AB189" s="19" t="e">
        <f>+AB$199-V$199+#REF!</f>
        <v>#REF!</v>
      </c>
    </row>
    <row r="190" spans="1:123" x14ac:dyDescent="0.2">
      <c r="B190" s="103">
        <v>-1</v>
      </c>
      <c r="C190" s="9"/>
      <c r="H190" s="19"/>
      <c r="I190" s="19"/>
      <c r="J190" s="16"/>
      <c r="K190" s="16"/>
      <c r="L190" s="16"/>
      <c r="M190" s="8"/>
      <c r="N190" s="8"/>
      <c r="O190" s="8"/>
      <c r="P190" s="8"/>
      <c r="Q190" s="8"/>
      <c r="R190" s="8"/>
      <c r="S190" s="17"/>
      <c r="T190" s="17"/>
      <c r="U190" s="17"/>
      <c r="V190" s="27">
        <f>+T11</f>
        <v>0</v>
      </c>
      <c r="W190" s="6" t="s">
        <v>154</v>
      </c>
      <c r="X190" s="17"/>
      <c r="Y190" s="17"/>
      <c r="Z190" s="17"/>
      <c r="AA190" s="17"/>
      <c r="AB190" s="19">
        <f>+AB$199-V$199+V189</f>
        <v>3.8980000000000004E-3</v>
      </c>
    </row>
    <row r="191" spans="1:123" x14ac:dyDescent="0.2">
      <c r="B191" s="103">
        <v>-1</v>
      </c>
      <c r="C191" s="9"/>
      <c r="H191" s="19"/>
      <c r="I191" s="19"/>
      <c r="J191" s="16"/>
      <c r="K191" s="16"/>
      <c r="L191" s="16"/>
      <c r="M191" s="8"/>
      <c r="N191" s="8"/>
      <c r="O191" s="8"/>
      <c r="P191" s="8"/>
      <c r="Q191" s="8"/>
      <c r="R191" s="8"/>
      <c r="S191" s="17"/>
      <c r="T191" s="17"/>
      <c r="U191" s="17"/>
      <c r="V191" s="27">
        <f>+T13</f>
        <v>0</v>
      </c>
      <c r="W191" s="6" t="s">
        <v>155</v>
      </c>
      <c r="X191" s="17"/>
      <c r="Y191" s="17"/>
      <c r="Z191" s="17"/>
      <c r="AA191" s="17"/>
      <c r="AB191" s="19">
        <f>+AB$199-V$199+V190</f>
        <v>3.8980000000000004E-3</v>
      </c>
    </row>
    <row r="192" spans="1:123" x14ac:dyDescent="0.2">
      <c r="B192" s="103">
        <v>-1</v>
      </c>
      <c r="C192" s="9"/>
      <c r="H192" s="19"/>
      <c r="I192" s="19"/>
      <c r="J192" s="16"/>
      <c r="K192" s="16"/>
      <c r="L192" s="16"/>
      <c r="M192" s="8"/>
      <c r="N192" s="8"/>
      <c r="O192" s="8"/>
      <c r="P192" s="8"/>
      <c r="Q192" s="8"/>
      <c r="R192" s="8"/>
      <c r="S192" s="17"/>
      <c r="T192" s="17"/>
      <c r="U192" s="17"/>
      <c r="V192" s="27">
        <f>T15</f>
        <v>1.37E-4</v>
      </c>
      <c r="W192" s="6" t="s">
        <v>156</v>
      </c>
      <c r="X192" s="17"/>
      <c r="Y192" s="17"/>
      <c r="Z192" s="17"/>
      <c r="AA192" s="17"/>
      <c r="AB192" s="19"/>
    </row>
    <row r="193" spans="1:29" x14ac:dyDescent="0.2">
      <c r="B193" s="103">
        <v>-1</v>
      </c>
      <c r="C193" s="9"/>
      <c r="H193" s="19"/>
      <c r="I193" s="19"/>
      <c r="J193" s="16"/>
      <c r="K193" s="16"/>
      <c r="L193" s="16"/>
      <c r="M193" s="8"/>
      <c r="N193" s="8"/>
      <c r="O193" s="8"/>
      <c r="P193" s="8"/>
      <c r="Q193" s="8"/>
      <c r="R193" s="8"/>
      <c r="S193" s="17"/>
      <c r="T193" s="17"/>
      <c r="U193" s="17"/>
      <c r="V193" s="27">
        <f>$T$18</f>
        <v>-9.0000000000000002E-6</v>
      </c>
      <c r="W193" s="6" t="s">
        <v>157</v>
      </c>
      <c r="X193" s="17"/>
      <c r="Y193" s="17"/>
      <c r="Z193" s="17"/>
      <c r="AA193" s="17"/>
      <c r="AB193" s="19"/>
    </row>
    <row r="194" spans="1:29" x14ac:dyDescent="0.2">
      <c r="B194" s="103">
        <v>-1</v>
      </c>
      <c r="C194" s="9"/>
      <c r="H194" s="19"/>
      <c r="I194" s="19"/>
      <c r="J194" s="16"/>
      <c r="K194" s="16"/>
      <c r="L194" s="16"/>
      <c r="M194" s="8"/>
      <c r="N194" s="8"/>
      <c r="O194" s="8"/>
      <c r="P194" s="8"/>
      <c r="Q194" s="8"/>
      <c r="R194" s="8"/>
      <c r="S194" s="17"/>
      <c r="T194" s="17"/>
      <c r="U194" s="17"/>
      <c r="V194" s="27">
        <f>$T$20</f>
        <v>-2.5500000000000002E-4</v>
      </c>
      <c r="W194" s="6" t="s">
        <v>158</v>
      </c>
      <c r="X194" s="17"/>
      <c r="Y194" s="17"/>
      <c r="Z194" s="17"/>
      <c r="AA194" s="17"/>
      <c r="AB194" s="19"/>
    </row>
    <row r="195" spans="1:29" x14ac:dyDescent="0.2">
      <c r="B195" s="103">
        <v>-1</v>
      </c>
      <c r="C195" s="9"/>
      <c r="H195" s="19"/>
      <c r="I195" s="19"/>
      <c r="J195" s="16"/>
      <c r="K195" s="16"/>
      <c r="L195" s="16"/>
      <c r="M195" s="8"/>
      <c r="N195" s="8"/>
      <c r="O195" s="8"/>
      <c r="P195" s="8"/>
      <c r="Q195" s="8"/>
      <c r="R195" s="8"/>
      <c r="S195" s="17"/>
      <c r="T195" s="17"/>
      <c r="U195" s="17"/>
      <c r="V195" s="27">
        <f>$T$22</f>
        <v>-2.941E-3</v>
      </c>
      <c r="W195" s="6" t="s">
        <v>159</v>
      </c>
      <c r="X195" s="17"/>
      <c r="Y195" s="17"/>
      <c r="Z195" s="17"/>
      <c r="AA195" s="17"/>
      <c r="AB195" s="19"/>
    </row>
    <row r="196" spans="1:29" x14ac:dyDescent="0.2">
      <c r="B196" s="103">
        <v>-1</v>
      </c>
      <c r="C196" s="9"/>
      <c r="H196" s="19"/>
      <c r="I196" s="19"/>
      <c r="J196" s="16"/>
      <c r="K196" s="16"/>
      <c r="L196" s="16"/>
      <c r="M196" s="8"/>
      <c r="N196" s="8"/>
      <c r="O196" s="8"/>
      <c r="P196" s="8"/>
      <c r="Q196" s="8"/>
      <c r="R196" s="8"/>
      <c r="S196" s="17"/>
      <c r="T196" s="17"/>
      <c r="U196" s="17"/>
      <c r="V196" s="27">
        <f>$T$24</f>
        <v>0</v>
      </c>
      <c r="W196" s="6" t="s">
        <v>160</v>
      </c>
      <c r="X196" s="17"/>
      <c r="Y196" s="17"/>
      <c r="Z196" s="17"/>
      <c r="AA196" s="17"/>
      <c r="AB196" s="19"/>
    </row>
    <row r="197" spans="1:29" x14ac:dyDescent="0.2">
      <c r="B197" s="103">
        <v>-1</v>
      </c>
      <c r="C197" s="9"/>
      <c r="H197" s="19"/>
      <c r="I197" s="19"/>
      <c r="J197" s="16"/>
      <c r="K197" s="16"/>
      <c r="L197" s="16"/>
      <c r="M197" s="8"/>
      <c r="N197" s="8"/>
      <c r="O197" s="8"/>
      <c r="P197" s="8"/>
      <c r="Q197" s="8"/>
      <c r="R197" s="8"/>
      <c r="S197" s="17"/>
      <c r="T197" s="17"/>
      <c r="U197" s="17"/>
      <c r="V197" s="19">
        <f>T26</f>
        <v>0</v>
      </c>
      <c r="W197" s="6" t="s">
        <v>161</v>
      </c>
      <c r="X197" s="17"/>
      <c r="Y197" s="17"/>
      <c r="Z197" s="17"/>
      <c r="AA197" s="17"/>
      <c r="AB197" s="19"/>
    </row>
    <row r="198" spans="1:29" x14ac:dyDescent="0.2">
      <c r="B198" s="103"/>
      <c r="C198" s="9"/>
      <c r="H198" s="19"/>
      <c r="I198" s="19"/>
      <c r="J198" s="16"/>
      <c r="K198" s="16"/>
      <c r="L198" s="16"/>
      <c r="M198" s="8"/>
      <c r="N198" s="8"/>
      <c r="O198" s="8"/>
      <c r="P198" s="8"/>
      <c r="Q198" s="8"/>
      <c r="R198" s="8"/>
      <c r="S198" s="17"/>
      <c r="T198" s="17"/>
      <c r="U198" s="17"/>
      <c r="V198" s="19">
        <f>T28</f>
        <v>1.15E-3</v>
      </c>
      <c r="W198" s="6" t="s">
        <v>301</v>
      </c>
      <c r="X198" s="17"/>
      <c r="Y198" s="17"/>
      <c r="Z198" s="17"/>
      <c r="AA198" s="17"/>
      <c r="AB198" s="19"/>
    </row>
    <row r="199" spans="1:29" x14ac:dyDescent="0.2">
      <c r="B199" s="103">
        <v>-1</v>
      </c>
      <c r="C199" s="4"/>
      <c r="F199" s="8"/>
      <c r="I199" s="19"/>
      <c r="J199" s="163">
        <v>55</v>
      </c>
      <c r="K199" s="164">
        <v>0.123516</v>
      </c>
      <c r="L199" s="5"/>
      <c r="M199" s="5"/>
      <c r="N199" s="5"/>
      <c r="O199" s="5"/>
      <c r="P199" s="5"/>
      <c r="Q199" s="143" t="s">
        <v>173</v>
      </c>
      <c r="R199" s="5"/>
      <c r="S199" s="27">
        <f>+M$4</f>
        <v>3.0000000000000001E-3</v>
      </c>
      <c r="T199" s="27">
        <f t="shared" ref="T199:AA199" si="16">+R$4</f>
        <v>-3.4320000000000002E-3</v>
      </c>
      <c r="U199" s="27">
        <f>+S$4</f>
        <v>1.523E-3</v>
      </c>
      <c r="V199" s="27">
        <f t="shared" si="16"/>
        <v>6.6499999999999997E-3</v>
      </c>
      <c r="W199" s="27">
        <f t="shared" si="16"/>
        <v>0</v>
      </c>
      <c r="X199" s="27">
        <f t="shared" si="16"/>
        <v>3.2620000000000001E-3</v>
      </c>
      <c r="Y199" s="27">
        <f t="shared" si="16"/>
        <v>-1.3760000000000001E-3</v>
      </c>
      <c r="Z199" s="27">
        <f t="shared" si="16"/>
        <v>4.8899999999999996E-4</v>
      </c>
      <c r="AA199" s="27">
        <f t="shared" si="16"/>
        <v>-4.5600000000000003E-4</v>
      </c>
      <c r="AB199" s="19">
        <f>SUM(U199:Z199)</f>
        <v>1.0548E-2</v>
      </c>
    </row>
    <row r="200" spans="1:29" x14ac:dyDescent="0.2">
      <c r="A200" s="1"/>
      <c r="B200" s="103">
        <v>-1</v>
      </c>
      <c r="F200" s="8"/>
      <c r="I200" s="19"/>
      <c r="J200" s="73"/>
      <c r="K200" s="73">
        <v>999999</v>
      </c>
    </row>
    <row r="201" spans="1:29" x14ac:dyDescent="0.2">
      <c r="B201" s="103">
        <v>-1</v>
      </c>
      <c r="F201" s="12"/>
      <c r="I201" s="19"/>
      <c r="J201" s="12" t="s">
        <v>137</v>
      </c>
      <c r="K201" s="204" t="s">
        <v>28</v>
      </c>
      <c r="L201" s="204"/>
      <c r="M201" s="12"/>
      <c r="N201" s="12"/>
      <c r="O201" s="12"/>
      <c r="P201" s="12"/>
      <c r="Q201" s="12"/>
      <c r="R201" s="12"/>
      <c r="S201" s="12">
        <v>21</v>
      </c>
      <c r="T201" s="12">
        <v>6</v>
      </c>
      <c r="U201" s="12">
        <v>3</v>
      </c>
      <c r="V201" s="12">
        <v>22</v>
      </c>
      <c r="W201" s="12">
        <v>13</v>
      </c>
      <c r="X201" s="12">
        <v>20</v>
      </c>
      <c r="Y201" s="12">
        <v>24</v>
      </c>
      <c r="Z201" s="12">
        <v>25</v>
      </c>
      <c r="AA201" s="12">
        <v>26</v>
      </c>
    </row>
    <row r="202" spans="1:29" x14ac:dyDescent="0.2">
      <c r="A202" s="13"/>
      <c r="B202" s="103">
        <v>-1</v>
      </c>
      <c r="C202" s="14"/>
      <c r="D202" s="15"/>
      <c r="F202" s="13" t="s">
        <v>141</v>
      </c>
      <c r="G202" s="13" t="s">
        <v>142</v>
      </c>
      <c r="H202" s="13" t="s">
        <v>143</v>
      </c>
      <c r="I202" s="19"/>
      <c r="J202" s="13" t="s">
        <v>144</v>
      </c>
      <c r="K202" s="13" t="s">
        <v>174</v>
      </c>
      <c r="L202" s="13"/>
      <c r="M202" s="13"/>
      <c r="N202" s="143" t="s">
        <v>138</v>
      </c>
      <c r="O202" s="13"/>
      <c r="P202" s="13"/>
      <c r="Q202" s="13"/>
      <c r="R202" s="13"/>
      <c r="S202" s="13" t="s">
        <v>106</v>
      </c>
      <c r="T202" s="13" t="s">
        <v>36</v>
      </c>
      <c r="U202" s="139" t="s">
        <v>38</v>
      </c>
      <c r="V202" s="13" t="s">
        <v>107</v>
      </c>
      <c r="W202" s="13" t="s">
        <v>108</v>
      </c>
      <c r="X202" s="13" t="s">
        <v>109</v>
      </c>
      <c r="Y202" s="139" t="s">
        <v>44</v>
      </c>
      <c r="Z202" s="139" t="s">
        <v>46</v>
      </c>
      <c r="AA202" s="139" t="s">
        <v>48</v>
      </c>
      <c r="AB202" s="66" t="s">
        <v>110</v>
      </c>
    </row>
    <row r="203" spans="1:29" x14ac:dyDescent="0.2">
      <c r="B203" s="103">
        <v>-1</v>
      </c>
      <c r="C203" s="9"/>
      <c r="F203" s="36"/>
      <c r="G203" s="17"/>
      <c r="H203" s="19"/>
      <c r="I203" s="19"/>
      <c r="J203" s="16"/>
      <c r="K203" s="16"/>
      <c r="L203" s="16"/>
      <c r="M203" s="8"/>
      <c r="N203" s="8"/>
      <c r="O203" s="8"/>
      <c r="P203" s="8"/>
      <c r="Q203" s="8"/>
      <c r="R203" s="8"/>
      <c r="S203" s="50">
        <v>0</v>
      </c>
      <c r="T203" s="17"/>
      <c r="U203" s="17"/>
      <c r="V203" s="17"/>
      <c r="W203" s="17"/>
      <c r="X203" s="17"/>
      <c r="Y203" s="17"/>
      <c r="Z203" s="17"/>
      <c r="AA203" s="17"/>
    </row>
    <row r="204" spans="1:29" x14ac:dyDescent="0.2">
      <c r="B204" s="103">
        <f>IF(AND('AES Indiana Bill Calc.'!$D$17="SH",'AES Indiana Bill Calc.'!$D$18="No",'AES Indiana Bill Calc.'!$D$20="No"),'AES Indiana Bill Calc.'!$D$19,-1)</f>
        <v>-1</v>
      </c>
      <c r="C204" s="1" t="s">
        <v>147</v>
      </c>
      <c r="F204" s="36" t="s">
        <v>55</v>
      </c>
      <c r="G204" s="17">
        <f>SUM(J204:M204,O204:P204,R204:AA204)</f>
        <v>54.870000000000005</v>
      </c>
      <c r="H204" s="19" t="e">
        <f>IF(ISBLANK(B204),0,+#REF!/B204)</f>
        <v>#REF!</v>
      </c>
      <c r="I204" s="19"/>
      <c r="J204" s="16">
        <f>IF(ISBLANK(B204),0,+J$199)</f>
        <v>55</v>
      </c>
      <c r="K204" s="16">
        <f>ROUND($B204*K$199,2)</f>
        <v>-0.12</v>
      </c>
      <c r="L204" s="16"/>
      <c r="M204" s="8"/>
      <c r="N204" s="17">
        <f>SUM(K204:L204)</f>
        <v>-0.12</v>
      </c>
      <c r="O204" s="8"/>
      <c r="P204" s="8"/>
      <c r="Q204" s="8"/>
      <c r="R204" s="8"/>
      <c r="S204" s="17">
        <f>ROUND($B204*S$199*S203,2)</f>
        <v>0</v>
      </c>
      <c r="T204" s="17">
        <f t="shared" ref="T204:AA204" si="17">ROUND($B204*T$199,2)</f>
        <v>0</v>
      </c>
      <c r="U204" s="17">
        <f t="shared" si="17"/>
        <v>0</v>
      </c>
      <c r="V204" s="17">
        <f t="shared" si="17"/>
        <v>-0.01</v>
      </c>
      <c r="W204" s="17">
        <f t="shared" si="17"/>
        <v>0</v>
      </c>
      <c r="X204" s="17">
        <f t="shared" si="17"/>
        <v>0</v>
      </c>
      <c r="Y204" s="17">
        <f t="shared" si="17"/>
        <v>0</v>
      </c>
      <c r="Z204" s="17">
        <f t="shared" si="17"/>
        <v>0</v>
      </c>
      <c r="AA204" s="17">
        <f t="shared" si="17"/>
        <v>0</v>
      </c>
      <c r="AB204" s="19">
        <f>SUM(U199:AA199)</f>
        <v>1.0092E-2</v>
      </c>
      <c r="AC204" s="67" t="str">
        <f>+F204</f>
        <v>SH</v>
      </c>
    </row>
    <row r="205" spans="1:29" x14ac:dyDescent="0.2">
      <c r="B205" s="103">
        <v>-1</v>
      </c>
      <c r="C205" s="9"/>
      <c r="F205" s="36"/>
      <c r="G205" s="17"/>
      <c r="H205" s="19"/>
      <c r="I205" s="19"/>
      <c r="J205" s="16"/>
      <c r="K205" s="16"/>
      <c r="L205" s="16"/>
      <c r="M205" s="8"/>
      <c r="N205" s="8"/>
      <c r="O205" s="8"/>
      <c r="P205" s="8"/>
      <c r="Q205" s="8"/>
      <c r="R205" s="8"/>
      <c r="S205" s="50">
        <v>1</v>
      </c>
      <c r="T205" s="17"/>
      <c r="U205" s="17"/>
      <c r="V205" s="17"/>
      <c r="W205" s="17"/>
      <c r="X205" s="17"/>
      <c r="Y205" s="17"/>
      <c r="Z205" s="17"/>
      <c r="AA205" s="17"/>
    </row>
    <row r="206" spans="1:29" x14ac:dyDescent="0.2">
      <c r="B206" s="103">
        <f>IF(AND('AES Indiana Bill Calc.'!$D$17="SH",'AES Indiana Bill Calc.'!$D$18="Yes 100%",'AES Indiana Bill Calc.'!$D$20="No"),'AES Indiana Bill Calc.'!$D$19,-1)</f>
        <v>-1</v>
      </c>
      <c r="C206" s="1" t="s">
        <v>148</v>
      </c>
      <c r="F206" s="36" t="s">
        <v>55</v>
      </c>
      <c r="G206" s="17">
        <f>SUM(J206:M206,O206:P206,R206:AA206)</f>
        <v>54.870000000000005</v>
      </c>
      <c r="H206" s="19" t="e">
        <f>IF(ISBLANK(B206),0,+#REF!/B206)</f>
        <v>#REF!</v>
      </c>
      <c r="I206" s="19"/>
      <c r="J206" s="16">
        <f>IF(ISBLANK(B206),0,+J$199)</f>
        <v>55</v>
      </c>
      <c r="K206" s="16">
        <f>ROUND($B206*K$199,2)</f>
        <v>-0.12</v>
      </c>
      <c r="L206" s="16"/>
      <c r="M206" s="8"/>
      <c r="N206" s="17">
        <f>SUM(K206:L206)</f>
        <v>-0.12</v>
      </c>
      <c r="O206" s="8"/>
      <c r="P206" s="8"/>
      <c r="Q206" s="8"/>
      <c r="R206" s="8"/>
      <c r="S206" s="17">
        <f>ROUND($B206*S$199*S205,2)</f>
        <v>0</v>
      </c>
      <c r="T206" s="17">
        <f t="shared" ref="T206:AA206" si="18">ROUND($B206*T$199,2)</f>
        <v>0</v>
      </c>
      <c r="U206" s="17">
        <f t="shared" si="18"/>
        <v>0</v>
      </c>
      <c r="V206" s="17">
        <f t="shared" si="18"/>
        <v>-0.01</v>
      </c>
      <c r="W206" s="17">
        <f t="shared" si="18"/>
        <v>0</v>
      </c>
      <c r="X206" s="17">
        <f t="shared" si="18"/>
        <v>0</v>
      </c>
      <c r="Y206" s="17">
        <f t="shared" si="18"/>
        <v>0</v>
      </c>
      <c r="Z206" s="17">
        <f t="shared" si="18"/>
        <v>0</v>
      </c>
      <c r="AA206" s="17">
        <f t="shared" si="18"/>
        <v>0</v>
      </c>
      <c r="AB206" s="19">
        <f>SUM(U$199:AA$199)</f>
        <v>1.0092E-2</v>
      </c>
      <c r="AC206" s="67" t="str">
        <f>+F206</f>
        <v>SH</v>
      </c>
    </row>
    <row r="207" spans="1:29" x14ac:dyDescent="0.2">
      <c r="B207" s="103">
        <v>-1</v>
      </c>
      <c r="C207" s="9"/>
      <c r="F207" s="36"/>
      <c r="G207" s="17"/>
      <c r="H207" s="19"/>
      <c r="I207" s="19"/>
      <c r="J207" s="16"/>
      <c r="K207" s="16"/>
      <c r="L207" s="16"/>
      <c r="M207" s="8"/>
      <c r="N207" s="8"/>
      <c r="O207" s="8"/>
      <c r="P207" s="8"/>
      <c r="Q207" s="8"/>
      <c r="R207" s="8"/>
      <c r="S207" s="50">
        <v>0.5</v>
      </c>
      <c r="T207" s="17"/>
      <c r="U207" s="17"/>
      <c r="V207" s="17"/>
      <c r="W207" s="17"/>
      <c r="X207" s="17"/>
      <c r="Y207" s="17"/>
      <c r="Z207" s="17"/>
      <c r="AA207" s="17"/>
    </row>
    <row r="208" spans="1:29" x14ac:dyDescent="0.2">
      <c r="B208" s="103">
        <f>IF(AND('AES Indiana Bill Calc.'!$D$17="SH",'AES Indiana Bill Calc.'!$D$18="Yes 50%",'AES Indiana Bill Calc.'!$D$20="No"),'AES Indiana Bill Calc.'!$D$19,-1)</f>
        <v>-1</v>
      </c>
      <c r="C208" s="1" t="s">
        <v>149</v>
      </c>
      <c r="F208" s="36" t="s">
        <v>55</v>
      </c>
      <c r="G208" s="17">
        <f>SUM(J208:M208,O208:P208,R208:AA208)</f>
        <v>54.870000000000005</v>
      </c>
      <c r="H208" s="19" t="e">
        <f>IF(ISBLANK(B208),0,+#REF!/B208)</f>
        <v>#REF!</v>
      </c>
      <c r="I208" s="19"/>
      <c r="J208" s="16">
        <f>IF(ISBLANK(B208),0,+J$199)</f>
        <v>55</v>
      </c>
      <c r="K208" s="16">
        <f>ROUND($B208*K$199,2)</f>
        <v>-0.12</v>
      </c>
      <c r="L208" s="16"/>
      <c r="M208" s="8"/>
      <c r="N208" s="17">
        <f>SUM(K208:L208)</f>
        <v>-0.12</v>
      </c>
      <c r="O208" s="8"/>
      <c r="P208" s="8"/>
      <c r="Q208" s="8"/>
      <c r="R208" s="8"/>
      <c r="S208" s="17">
        <f>ROUND($B208*S$199*S207,2)</f>
        <v>0</v>
      </c>
      <c r="T208" s="17">
        <f t="shared" ref="T208:AA208" si="19">ROUND($B208*T$199,2)</f>
        <v>0</v>
      </c>
      <c r="U208" s="17">
        <f t="shared" si="19"/>
        <v>0</v>
      </c>
      <c r="V208" s="17">
        <f t="shared" si="19"/>
        <v>-0.01</v>
      </c>
      <c r="W208" s="17">
        <f t="shared" si="19"/>
        <v>0</v>
      </c>
      <c r="X208" s="17">
        <f t="shared" si="19"/>
        <v>0</v>
      </c>
      <c r="Y208" s="17">
        <f t="shared" si="19"/>
        <v>0</v>
      </c>
      <c r="Z208" s="17">
        <f t="shared" si="19"/>
        <v>0</v>
      </c>
      <c r="AA208" s="17">
        <f t="shared" si="19"/>
        <v>0</v>
      </c>
      <c r="AB208" s="19">
        <f>SUM(U$199:AA$199)</f>
        <v>1.0092E-2</v>
      </c>
      <c r="AC208" s="67" t="str">
        <f>+F208</f>
        <v>SH</v>
      </c>
    </row>
    <row r="209" spans="1:29" x14ac:dyDescent="0.2">
      <c r="B209" s="103">
        <v>-1</v>
      </c>
      <c r="C209" s="9"/>
      <c r="F209" s="36"/>
      <c r="G209" s="17"/>
      <c r="H209" s="19"/>
      <c r="I209" s="19"/>
      <c r="J209" s="16"/>
      <c r="K209" s="16"/>
      <c r="L209" s="16"/>
      <c r="M209" s="8"/>
      <c r="N209" s="8"/>
      <c r="O209" s="8"/>
      <c r="P209" s="8"/>
      <c r="Q209" s="8"/>
      <c r="R209" s="8"/>
      <c r="S209" s="50">
        <v>0.25</v>
      </c>
      <c r="T209" s="17"/>
      <c r="U209" s="17"/>
      <c r="V209" s="17"/>
      <c r="W209" s="17"/>
      <c r="X209" s="17"/>
      <c r="Y209" s="17"/>
      <c r="Z209" s="17"/>
      <c r="AA209" s="17"/>
    </row>
    <row r="210" spans="1:29" x14ac:dyDescent="0.2">
      <c r="B210" s="103">
        <f>IF(AND('AES Indiana Bill Calc.'!$D$17="SH",'AES Indiana Bill Calc.'!$D$18="Yes 25%",'AES Indiana Bill Calc.'!$D$20="No"),'AES Indiana Bill Calc.'!$D$19,-1)</f>
        <v>-1</v>
      </c>
      <c r="C210" s="1" t="s">
        <v>150</v>
      </c>
      <c r="F210" s="36" t="s">
        <v>55</v>
      </c>
      <c r="G210" s="17">
        <f>SUM(J210:M210,O210:P210,R210:AA210)</f>
        <v>54.870000000000005</v>
      </c>
      <c r="H210" s="19" t="e">
        <f>IF(ISBLANK(B210),0,+#REF!/B210)</f>
        <v>#REF!</v>
      </c>
      <c r="I210" s="19"/>
      <c r="J210" s="16">
        <f>IF(ISBLANK(B210),0,+J$199)</f>
        <v>55</v>
      </c>
      <c r="K210" s="16">
        <f>ROUND($B210*K$199,2)</f>
        <v>-0.12</v>
      </c>
      <c r="L210" s="16"/>
      <c r="M210" s="8"/>
      <c r="N210" s="17">
        <f>SUM(K210:L210)</f>
        <v>-0.12</v>
      </c>
      <c r="O210" s="8"/>
      <c r="P210" s="8"/>
      <c r="Q210" s="8"/>
      <c r="R210" s="8"/>
      <c r="S210" s="17">
        <f>ROUND($B210*S$199*S209,2)</f>
        <v>0</v>
      </c>
      <c r="T210" s="17">
        <f t="shared" ref="T210:AA210" si="20">ROUND($B210*T$199,2)</f>
        <v>0</v>
      </c>
      <c r="U210" s="17">
        <f t="shared" si="20"/>
        <v>0</v>
      </c>
      <c r="V210" s="17">
        <f t="shared" si="20"/>
        <v>-0.01</v>
      </c>
      <c r="W210" s="17">
        <f t="shared" si="20"/>
        <v>0</v>
      </c>
      <c r="X210" s="17">
        <f t="shared" si="20"/>
        <v>0</v>
      </c>
      <c r="Y210" s="17">
        <f t="shared" si="20"/>
        <v>0</v>
      </c>
      <c r="Z210" s="17">
        <f t="shared" si="20"/>
        <v>0</v>
      </c>
      <c r="AA210" s="17">
        <f t="shared" si="20"/>
        <v>0</v>
      </c>
      <c r="AB210" s="19">
        <f>SUM(U$199:AA$199)</f>
        <v>1.0092E-2</v>
      </c>
      <c r="AC210" s="67" t="str">
        <f>+F210</f>
        <v>SH</v>
      </c>
    </row>
    <row r="211" spans="1:29" x14ac:dyDescent="0.2">
      <c r="B211" s="103">
        <v>-1</v>
      </c>
      <c r="C211" s="9"/>
      <c r="F211" s="36"/>
      <c r="G211" s="17"/>
      <c r="H211" s="19"/>
      <c r="I211" s="19"/>
      <c r="J211" s="16"/>
      <c r="K211" s="16"/>
      <c r="L211" s="16"/>
      <c r="M211" s="8"/>
      <c r="N211" s="8"/>
      <c r="O211" s="8"/>
      <c r="P211" s="8"/>
      <c r="Q211" s="8"/>
      <c r="R211" s="8"/>
      <c r="S211" s="50">
        <v>0.1</v>
      </c>
      <c r="T211" s="17"/>
      <c r="U211" s="17"/>
      <c r="V211" s="17"/>
      <c r="W211" s="17"/>
      <c r="X211" s="17"/>
      <c r="Y211" s="17"/>
      <c r="Z211" s="17"/>
      <c r="AA211" s="17"/>
    </row>
    <row r="212" spans="1:29" x14ac:dyDescent="0.2">
      <c r="B212" s="103">
        <f>IF(AND('AES Indiana Bill Calc.'!$D$17="SH",'AES Indiana Bill Calc.'!$D$18="Yes 10%",'AES Indiana Bill Calc.'!$D$20="No"),'AES Indiana Bill Calc.'!$D$19,-1)</f>
        <v>-1</v>
      </c>
      <c r="C212" s="1" t="s">
        <v>164</v>
      </c>
      <c r="F212" s="36" t="s">
        <v>55</v>
      </c>
      <c r="G212" s="17">
        <f>SUM(J212:M212,O212:P212,R212:AA212)</f>
        <v>54.870000000000005</v>
      </c>
      <c r="H212" s="19" t="e">
        <f>IF(ISBLANK(B212),0,+#REF!/B212)</f>
        <v>#REF!</v>
      </c>
      <c r="I212" s="19"/>
      <c r="J212" s="16">
        <f>IF(ISBLANK(B212),0,+J$199)</f>
        <v>55</v>
      </c>
      <c r="K212" s="16">
        <f>ROUND($B212*K$199,2)</f>
        <v>-0.12</v>
      </c>
      <c r="L212" s="16"/>
      <c r="M212" s="8"/>
      <c r="N212" s="17">
        <f>SUM(K212:L212)</f>
        <v>-0.12</v>
      </c>
      <c r="O212" s="8"/>
      <c r="P212" s="8"/>
      <c r="Q212" s="8"/>
      <c r="R212" s="8"/>
      <c r="S212" s="17">
        <f>ROUND($B212*S$199*S211,2)</f>
        <v>0</v>
      </c>
      <c r="T212" s="17">
        <f t="shared" ref="T212:AA212" si="21">ROUND($B212*T$199,2)</f>
        <v>0</v>
      </c>
      <c r="U212" s="17">
        <f t="shared" si="21"/>
        <v>0</v>
      </c>
      <c r="V212" s="17">
        <f t="shared" si="21"/>
        <v>-0.01</v>
      </c>
      <c r="W212" s="17">
        <f t="shared" si="21"/>
        <v>0</v>
      </c>
      <c r="X212" s="17">
        <f t="shared" si="21"/>
        <v>0</v>
      </c>
      <c r="Y212" s="17">
        <f t="shared" si="21"/>
        <v>0</v>
      </c>
      <c r="Z212" s="17">
        <f t="shared" si="21"/>
        <v>0</v>
      </c>
      <c r="AA212" s="17">
        <f t="shared" si="21"/>
        <v>0</v>
      </c>
      <c r="AB212" s="19">
        <f>SUM(U$199:AA$199)</f>
        <v>1.0092E-2</v>
      </c>
      <c r="AC212" s="67" t="str">
        <f>+F212</f>
        <v>SH</v>
      </c>
    </row>
    <row r="213" spans="1:29" x14ac:dyDescent="0.2">
      <c r="B213" s="103">
        <v>-1</v>
      </c>
      <c r="C213" s="9"/>
      <c r="F213" s="36"/>
      <c r="G213" s="17"/>
      <c r="H213" s="19"/>
      <c r="I213" s="19"/>
      <c r="J213" s="16"/>
      <c r="K213" s="16"/>
      <c r="L213" s="16"/>
      <c r="M213" s="8"/>
      <c r="N213" s="8"/>
      <c r="O213" s="8"/>
      <c r="P213" s="8"/>
      <c r="Q213" s="8"/>
      <c r="R213" s="8"/>
      <c r="S213" s="50">
        <v>1</v>
      </c>
      <c r="T213" s="17"/>
      <c r="U213" s="17"/>
      <c r="V213" s="8"/>
      <c r="W213" s="17"/>
      <c r="X213" s="17"/>
      <c r="Y213" s="17"/>
      <c r="Z213" s="17"/>
      <c r="AA213" s="17"/>
      <c r="AB213" s="19"/>
      <c r="AC213" s="67"/>
    </row>
    <row r="214" spans="1:29" x14ac:dyDescent="0.2">
      <c r="B214" s="103">
        <f>IF(AND('AES Indiana Bill Calc.'!$D$17="SH",'AES Indiana Bill Calc.'!$D$18="Yes 100%",'AES Indiana Bill Calc.'!$D$20="Yes Before 2018"),'AES Indiana Bill Calc.'!$D$19,-1)</f>
        <v>-1</v>
      </c>
      <c r="C214" s="1" t="s">
        <v>148</v>
      </c>
      <c r="F214" s="36" t="s">
        <v>175</v>
      </c>
      <c r="G214" s="17">
        <f>SUM(J214:M214,O214:P214,R214:AA214)</f>
        <v>54.88</v>
      </c>
      <c r="H214" s="19" t="e">
        <f>IF(ISBLANK(B214),0,+#REF!/B214)</f>
        <v>#REF!</v>
      </c>
      <c r="I214" s="19"/>
      <c r="J214" s="82">
        <f>IF(ISBLANK(B214),0,+J$199)</f>
        <v>55</v>
      </c>
      <c r="K214" s="82">
        <f>ROUND($B214*K$199,2)</f>
        <v>-0.12</v>
      </c>
      <c r="L214" s="82"/>
      <c r="M214" s="41"/>
      <c r="N214" s="17">
        <f>SUM(K214:L214)</f>
        <v>-0.12</v>
      </c>
      <c r="O214" s="41"/>
      <c r="P214" s="41"/>
      <c r="Q214" s="41"/>
      <c r="R214" s="41"/>
      <c r="S214" s="42">
        <f>ROUND($B214*S$199*S213,2)</f>
        <v>0</v>
      </c>
      <c r="T214" s="42">
        <f>ROUND($B214*T$199,2)</f>
        <v>0</v>
      </c>
      <c r="U214" s="42">
        <f>ROUND($B214*U$199,2)</f>
        <v>0</v>
      </c>
      <c r="V214" s="41">
        <f>ROUND($B214*V$191,2)</f>
        <v>0</v>
      </c>
      <c r="W214" s="42">
        <f>ROUND($B214*W$199,2)</f>
        <v>0</v>
      </c>
      <c r="X214" s="42">
        <f>ROUND($B214*X$199,2)</f>
        <v>0</v>
      </c>
      <c r="Y214" s="42">
        <f>ROUND($B214*Y$199,2)</f>
        <v>0</v>
      </c>
      <c r="Z214" s="42">
        <f>ROUND($B214*Z$199,2)</f>
        <v>0</v>
      </c>
      <c r="AA214" s="42">
        <f>ROUND($B214*AA$199,2)</f>
        <v>0</v>
      </c>
      <c r="AB214" s="19">
        <f>SUM(U$199:AA$199)+(-V$199+V157)</f>
        <v>3.4420000000000006E-3</v>
      </c>
      <c r="AC214" s="94" t="str">
        <f>+F214</f>
        <v>SH7</v>
      </c>
    </row>
    <row r="215" spans="1:29" x14ac:dyDescent="0.2">
      <c r="B215" s="103">
        <v>-1</v>
      </c>
      <c r="C215" s="9"/>
      <c r="F215" s="36"/>
      <c r="G215" s="17"/>
      <c r="H215" s="19"/>
      <c r="I215" s="19"/>
      <c r="J215" s="16"/>
      <c r="K215" s="16"/>
      <c r="L215" s="16"/>
      <c r="M215" s="8"/>
      <c r="N215" s="8"/>
      <c r="O215" s="8"/>
      <c r="P215" s="8"/>
      <c r="Q215" s="8"/>
      <c r="R215" s="8"/>
      <c r="S215" s="50">
        <v>0.5</v>
      </c>
      <c r="T215" s="17"/>
      <c r="U215" s="17"/>
      <c r="V215" s="8"/>
      <c r="W215" s="17"/>
      <c r="X215" s="17"/>
      <c r="Y215" s="17"/>
      <c r="Z215" s="17"/>
      <c r="AA215" s="17"/>
      <c r="AB215" s="19"/>
      <c r="AC215" s="67"/>
    </row>
    <row r="216" spans="1:29" x14ac:dyDescent="0.2">
      <c r="B216" s="103">
        <f>IF(AND('AES Indiana Bill Calc.'!$D$17="SH",'AES Indiana Bill Calc.'!$D$18="Yes 50%",'AES Indiana Bill Calc.'!$D$20="Yes Before 2018"),'AES Indiana Bill Calc.'!$D$19,-1)</f>
        <v>-1</v>
      </c>
      <c r="C216" s="1" t="s">
        <v>149</v>
      </c>
      <c r="F216" s="36" t="s">
        <v>175</v>
      </c>
      <c r="G216" s="17">
        <f>SUM(J216:M216,O216:P216,R216:AA216)</f>
        <v>54.88</v>
      </c>
      <c r="H216" s="19" t="e">
        <f>IF(ISBLANK(B216),0,+#REF!/B216)</f>
        <v>#REF!</v>
      </c>
      <c r="I216" s="19"/>
      <c r="J216" s="82">
        <f>IF(ISBLANK(B216),0,+J$199)</f>
        <v>55</v>
      </c>
      <c r="K216" s="82">
        <f>ROUND($B216*K$199,2)</f>
        <v>-0.12</v>
      </c>
      <c r="L216" s="82"/>
      <c r="M216" s="41"/>
      <c r="N216" s="17">
        <f>SUM(K216:L216)</f>
        <v>-0.12</v>
      </c>
      <c r="O216" s="41"/>
      <c r="P216" s="41"/>
      <c r="Q216" s="41"/>
      <c r="R216" s="41"/>
      <c r="S216" s="42">
        <f>ROUND($B216*S$199*S215,2)</f>
        <v>0</v>
      </c>
      <c r="T216" s="42">
        <f>ROUND($B216*T$199,2)</f>
        <v>0</v>
      </c>
      <c r="U216" s="42">
        <f>ROUND($B216*U$199,2)</f>
        <v>0</v>
      </c>
      <c r="V216" s="41">
        <f>ROUND($B216*V$191,2)</f>
        <v>0</v>
      </c>
      <c r="W216" s="42">
        <f>ROUND($B216*W$199,2)</f>
        <v>0</v>
      </c>
      <c r="X216" s="42">
        <f>ROUND($B216*X$199,2)</f>
        <v>0</v>
      </c>
      <c r="Y216" s="42">
        <f>ROUND($B216*Y$199,2)</f>
        <v>0</v>
      </c>
      <c r="Z216" s="42">
        <f>ROUND($B216*Z$199,2)</f>
        <v>0</v>
      </c>
      <c r="AA216" s="42">
        <f>ROUND($B216*AA$199,2)</f>
        <v>0</v>
      </c>
      <c r="AB216" s="19">
        <f>SUM(U$199:AA$199)+(-V$199+V159)</f>
        <v>3.4420000000000006E-3</v>
      </c>
      <c r="AC216" s="94" t="str">
        <f>+F216</f>
        <v>SH7</v>
      </c>
    </row>
    <row r="217" spans="1:29" x14ac:dyDescent="0.2">
      <c r="B217" s="103">
        <v>-1</v>
      </c>
      <c r="C217" s="9"/>
      <c r="F217" s="36"/>
      <c r="G217" s="17"/>
      <c r="H217" s="19"/>
      <c r="I217" s="19"/>
      <c r="J217" s="16"/>
      <c r="K217" s="16"/>
      <c r="L217" s="16"/>
      <c r="M217" s="8"/>
      <c r="N217" s="8"/>
      <c r="O217" s="8"/>
      <c r="P217" s="8"/>
      <c r="Q217" s="8"/>
      <c r="R217" s="8"/>
      <c r="S217" s="50">
        <v>0.25</v>
      </c>
      <c r="T217" s="17"/>
      <c r="U217" s="17"/>
      <c r="V217" s="8"/>
      <c r="W217" s="17"/>
      <c r="X217" s="17"/>
      <c r="Y217" s="17"/>
      <c r="Z217" s="17"/>
      <c r="AA217" s="17"/>
      <c r="AB217" s="19"/>
      <c r="AC217" s="67"/>
    </row>
    <row r="218" spans="1:29" x14ac:dyDescent="0.2">
      <c r="B218" s="103">
        <f>IF(AND('AES Indiana Bill Calc.'!$D$17="SH",'AES Indiana Bill Calc.'!$D$18="Yes 25%",'AES Indiana Bill Calc.'!$D$20="Yes Before 2018"),'AES Indiana Bill Calc.'!$D$19,-1)</f>
        <v>-1</v>
      </c>
      <c r="C218" s="1" t="s">
        <v>150</v>
      </c>
      <c r="F218" s="36" t="s">
        <v>175</v>
      </c>
      <c r="G218" s="17">
        <f>SUM(J218:M218,O218:P218,R218:AA218)</f>
        <v>54.88</v>
      </c>
      <c r="H218" s="19" t="e">
        <f>IF(ISBLANK(B218),0,+#REF!/B218)</f>
        <v>#REF!</v>
      </c>
      <c r="I218" s="19"/>
      <c r="J218" s="82">
        <f>IF(ISBLANK(B218),0,+J$199)</f>
        <v>55</v>
      </c>
      <c r="K218" s="82">
        <f>ROUND($B218*K$199,2)</f>
        <v>-0.12</v>
      </c>
      <c r="L218" s="82"/>
      <c r="M218" s="41"/>
      <c r="N218" s="17">
        <f>SUM(K218:L218)</f>
        <v>-0.12</v>
      </c>
      <c r="O218" s="41"/>
      <c r="P218" s="41"/>
      <c r="Q218" s="41"/>
      <c r="R218" s="41"/>
      <c r="S218" s="42">
        <f>ROUND($B218*S$199*S217,2)</f>
        <v>0</v>
      </c>
      <c r="T218" s="42">
        <f>ROUND($B218*T$199,2)</f>
        <v>0</v>
      </c>
      <c r="U218" s="42">
        <f>ROUND($B218*U$199,2)</f>
        <v>0</v>
      </c>
      <c r="V218" s="41">
        <f>ROUND($B218*V$191,2)</f>
        <v>0</v>
      </c>
      <c r="W218" s="42">
        <f>ROUND($B218*W$199,2)</f>
        <v>0</v>
      </c>
      <c r="X218" s="42">
        <f>ROUND($B218*X$199,2)</f>
        <v>0</v>
      </c>
      <c r="Y218" s="42">
        <f>ROUND($B218*Y$199,2)</f>
        <v>0</v>
      </c>
      <c r="Z218" s="42">
        <f>ROUND($B218*Z$199,2)</f>
        <v>0</v>
      </c>
      <c r="AA218" s="42">
        <f>ROUND($B218*AA$199,2)</f>
        <v>0</v>
      </c>
      <c r="AB218" s="19">
        <f>SUM(U$199:AA$199)+(-V$199+V161)</f>
        <v>3.4420000000000006E-3</v>
      </c>
      <c r="AC218" s="94" t="str">
        <f>+F218</f>
        <v>SH7</v>
      </c>
    </row>
    <row r="219" spans="1:29" x14ac:dyDescent="0.2">
      <c r="B219" s="103">
        <v>-1</v>
      </c>
      <c r="C219" s="9"/>
      <c r="F219" s="36"/>
      <c r="G219" s="17"/>
      <c r="H219" s="19"/>
      <c r="I219" s="19"/>
      <c r="J219" s="16"/>
      <c r="K219" s="16"/>
      <c r="L219" s="16"/>
      <c r="M219" s="8"/>
      <c r="N219" s="8"/>
      <c r="O219" s="8"/>
      <c r="P219" s="8"/>
      <c r="Q219" s="8"/>
      <c r="R219" s="8"/>
      <c r="S219" s="50">
        <v>0.1</v>
      </c>
      <c r="T219" s="17"/>
      <c r="U219" s="17"/>
      <c r="V219" s="8"/>
      <c r="W219" s="17"/>
      <c r="X219" s="17"/>
      <c r="Y219" s="17"/>
      <c r="Z219" s="17"/>
      <c r="AA219" s="17"/>
      <c r="AB219" s="19"/>
      <c r="AC219" s="67"/>
    </row>
    <row r="220" spans="1:29" x14ac:dyDescent="0.2">
      <c r="B220" s="103">
        <f>IF(AND('AES Indiana Bill Calc.'!$D$17="SH",'AES Indiana Bill Calc.'!$D$18="Yes 10%",'AES Indiana Bill Calc.'!$D$20="Yes Before 2018"),'AES Indiana Bill Calc.'!$D$19,-1)</f>
        <v>-1</v>
      </c>
      <c r="C220" s="1" t="s">
        <v>164</v>
      </c>
      <c r="F220" s="36" t="s">
        <v>175</v>
      </c>
      <c r="G220" s="17">
        <f>SUM(J220:M220,O220:P220,R220:AA220)</f>
        <v>54.88</v>
      </c>
      <c r="H220" s="19" t="e">
        <f>IF(ISBLANK(B220),0,+#REF!/B220)</f>
        <v>#REF!</v>
      </c>
      <c r="I220" s="19"/>
      <c r="J220" s="82">
        <f>IF(ISBLANK(B220),0,+J$199)</f>
        <v>55</v>
      </c>
      <c r="K220" s="82">
        <f>ROUND($B220*K$199,2)</f>
        <v>-0.12</v>
      </c>
      <c r="L220" s="82"/>
      <c r="M220" s="41"/>
      <c r="N220" s="17">
        <f>SUM(K220:L220)</f>
        <v>-0.12</v>
      </c>
      <c r="O220" s="41"/>
      <c r="P220" s="41"/>
      <c r="Q220" s="41"/>
      <c r="R220" s="41"/>
      <c r="S220" s="42">
        <f>ROUND($B220*S$199*S219,2)</f>
        <v>0</v>
      </c>
      <c r="T220" s="42">
        <f>ROUND($B220*T$199,2)</f>
        <v>0</v>
      </c>
      <c r="U220" s="42">
        <f>ROUND($B220*U$199,2)</f>
        <v>0</v>
      </c>
      <c r="V220" s="41">
        <f>ROUND($B220*V$191,2)</f>
        <v>0</v>
      </c>
      <c r="W220" s="42">
        <f>ROUND($B220*W$199,2)</f>
        <v>0</v>
      </c>
      <c r="X220" s="42">
        <f>ROUND($B220*X$199,2)</f>
        <v>0</v>
      </c>
      <c r="Y220" s="42">
        <f>ROUND($B220*Y$199,2)</f>
        <v>0</v>
      </c>
      <c r="Z220" s="42">
        <f>ROUND($B220*Z$199,2)</f>
        <v>0</v>
      </c>
      <c r="AA220" s="42">
        <f>ROUND($B220*AA$199,2)</f>
        <v>0</v>
      </c>
      <c r="AB220" s="19">
        <f>SUM(U$199:AA$199)+(-V$199+V163)</f>
        <v>3.4420000000000006E-3</v>
      </c>
      <c r="AC220" s="94" t="str">
        <f>+F220</f>
        <v>SH7</v>
      </c>
    </row>
    <row r="221" spans="1:29" x14ac:dyDescent="0.2">
      <c r="B221" s="103">
        <v>-1</v>
      </c>
      <c r="F221" s="36"/>
      <c r="G221" s="17"/>
      <c r="H221" s="19"/>
      <c r="I221" s="19"/>
      <c r="J221" s="16"/>
      <c r="K221" s="16"/>
      <c r="L221" s="16"/>
      <c r="M221" s="8"/>
      <c r="N221" s="8"/>
      <c r="O221" s="8"/>
      <c r="P221" s="8"/>
      <c r="Q221" s="8"/>
      <c r="R221" s="8"/>
      <c r="S221" s="50">
        <v>0</v>
      </c>
      <c r="T221" s="17"/>
      <c r="U221" s="17"/>
      <c r="V221" s="8"/>
      <c r="W221" s="17"/>
      <c r="X221" s="17"/>
      <c r="Y221" s="17"/>
      <c r="Z221" s="17"/>
      <c r="AA221" s="17"/>
      <c r="AB221" s="19"/>
      <c r="AC221" s="67"/>
    </row>
    <row r="222" spans="1:29" x14ac:dyDescent="0.2">
      <c r="B222" s="103">
        <f>IF(AND('AES Indiana Bill Calc.'!$D$17="SH",'AES Indiana Bill Calc.'!$D$18="No",'AES Indiana Bill Calc.'!$D$20="Yes Before 2018"),'AES Indiana Bill Calc.'!$D$19,-1)</f>
        <v>-1</v>
      </c>
      <c r="C222" s="1" t="s">
        <v>147</v>
      </c>
      <c r="F222" s="36" t="s">
        <v>175</v>
      </c>
      <c r="G222" s="17">
        <f>SUM(J222:M222,O222:P222,R222:AA222)</f>
        <v>54.88</v>
      </c>
      <c r="H222" s="19" t="e">
        <f>IF(ISBLANK(B222),0,+#REF!/B222)</f>
        <v>#REF!</v>
      </c>
      <c r="I222" s="19"/>
      <c r="J222" s="82">
        <f>IF(ISBLANK(B222),0,+J$199)</f>
        <v>55</v>
      </c>
      <c r="K222" s="82">
        <f>ROUND($B222*K$199,2)</f>
        <v>-0.12</v>
      </c>
      <c r="L222" s="82"/>
      <c r="M222" s="41"/>
      <c r="N222" s="17">
        <f>SUM(K222:L222)</f>
        <v>-0.12</v>
      </c>
      <c r="O222" s="41"/>
      <c r="P222" s="41"/>
      <c r="Q222" s="41"/>
      <c r="R222" s="41"/>
      <c r="S222" s="42">
        <f>ROUND($B222*S$199*S221,2)</f>
        <v>0</v>
      </c>
      <c r="T222" s="42">
        <f>ROUND($B222*T$199,2)</f>
        <v>0</v>
      </c>
      <c r="U222" s="42">
        <f>ROUND($B222*U$199,2)</f>
        <v>0</v>
      </c>
      <c r="V222" s="41">
        <f>ROUND($B222*V$191,2)</f>
        <v>0</v>
      </c>
      <c r="W222" s="42">
        <f>ROUND($B222*W$199,2)</f>
        <v>0</v>
      </c>
      <c r="X222" s="42">
        <f>ROUND($B222*X$199,2)</f>
        <v>0</v>
      </c>
      <c r="Y222" s="42">
        <f>ROUND($B222*Y$199,2)</f>
        <v>0</v>
      </c>
      <c r="Z222" s="42">
        <f>ROUND($B222*Z$199,2)</f>
        <v>0</v>
      </c>
      <c r="AA222" s="42">
        <f>ROUND($B222*AA$199,2)</f>
        <v>0</v>
      </c>
      <c r="AB222" s="19">
        <f>SUM(U$199:AA$199)+(-V$199+V165)</f>
        <v>3.4420000000000006E-3</v>
      </c>
      <c r="AC222" s="94" t="str">
        <f>+F222</f>
        <v>SH7</v>
      </c>
    </row>
    <row r="223" spans="1:29" x14ac:dyDescent="0.2">
      <c r="B223" s="103">
        <v>-1</v>
      </c>
      <c r="C223" s="9"/>
      <c r="F223" s="36"/>
      <c r="G223" s="17"/>
      <c r="H223" s="19"/>
      <c r="I223" s="19"/>
      <c r="J223" s="16"/>
      <c r="K223" s="16"/>
      <c r="L223" s="16"/>
      <c r="M223" s="8"/>
      <c r="N223" s="8"/>
      <c r="O223" s="8"/>
      <c r="P223" s="8"/>
      <c r="Q223" s="8"/>
      <c r="R223" s="8"/>
      <c r="S223" s="50">
        <v>1</v>
      </c>
      <c r="T223" s="17"/>
      <c r="U223" s="17"/>
      <c r="V223" s="8"/>
      <c r="W223" s="17"/>
      <c r="X223" s="17"/>
      <c r="Y223" s="17"/>
      <c r="Z223" s="17"/>
      <c r="AA223" s="17"/>
      <c r="AB223" s="19"/>
      <c r="AC223" s="67"/>
    </row>
    <row r="224" spans="1:29" x14ac:dyDescent="0.2">
      <c r="A224" s="96"/>
      <c r="B224" s="103">
        <f>IF(AND('AES Indiana Bill Calc.'!$D$17="SH",'AES Indiana Bill Calc.'!$D$18="Yes 100%",'AES Indiana Bill Calc.'!$D$20="Yes 2018"),'AES Indiana Bill Calc.'!$D$19,-1)</f>
        <v>-1</v>
      </c>
      <c r="C224" s="1" t="s">
        <v>148</v>
      </c>
      <c r="F224" s="36" t="s">
        <v>176</v>
      </c>
      <c r="G224" s="17">
        <f>SUM(J224:M224,O224:P224,R224:AA224)</f>
        <v>54.88</v>
      </c>
      <c r="H224" s="19" t="e">
        <f>IF(ISBLANK(B224),0,+#REF!/B224)</f>
        <v>#REF!</v>
      </c>
      <c r="I224" s="19"/>
      <c r="J224" s="82">
        <f>IF(ISBLANK(B224),0,+J$199)</f>
        <v>55</v>
      </c>
      <c r="K224" s="82">
        <f>ROUND($B224*K$199,2)</f>
        <v>-0.12</v>
      </c>
      <c r="L224" s="82"/>
      <c r="M224" s="41"/>
      <c r="N224" s="17">
        <f>SUM(K224:L224)</f>
        <v>-0.12</v>
      </c>
      <c r="O224" s="41"/>
      <c r="P224" s="41"/>
      <c r="Q224" s="41"/>
      <c r="R224" s="41"/>
      <c r="S224" s="42">
        <f>ROUND($B224*S$199*S223,2)</f>
        <v>0</v>
      </c>
      <c r="T224" s="42">
        <f>ROUND($B224*T$199,2)</f>
        <v>0</v>
      </c>
      <c r="U224" s="42">
        <f>ROUND($B224*U$199,2)</f>
        <v>0</v>
      </c>
      <c r="V224" s="41">
        <f>ROUND($B224*V$192,2)</f>
        <v>0</v>
      </c>
      <c r="W224" s="42">
        <f>ROUND($B224*W$199,2)</f>
        <v>0</v>
      </c>
      <c r="X224" s="42">
        <f>ROUND($B224*X$199,2)</f>
        <v>0</v>
      </c>
      <c r="Y224" s="42">
        <f>ROUND($B224*Y$199,2)</f>
        <v>0</v>
      </c>
      <c r="Z224" s="42">
        <f>ROUND($B224*Z$199,2)</f>
        <v>0</v>
      </c>
      <c r="AA224" s="42">
        <f>ROUND($B224*AA$199,2)</f>
        <v>0</v>
      </c>
      <c r="AB224" s="19">
        <f>SUM(U$199:AA$199)+(-V$199+V191)</f>
        <v>3.4420000000000006E-3</v>
      </c>
      <c r="AC224" s="94" t="str">
        <f>+F224</f>
        <v>SH8</v>
      </c>
    </row>
    <row r="225" spans="1:29" x14ac:dyDescent="0.2">
      <c r="B225" s="103">
        <v>-1</v>
      </c>
      <c r="C225" s="9"/>
      <c r="F225" s="36"/>
      <c r="G225" s="17"/>
      <c r="H225" s="19"/>
      <c r="I225" s="19"/>
      <c r="J225" s="16"/>
      <c r="K225" s="16"/>
      <c r="L225" s="16"/>
      <c r="M225" s="8"/>
      <c r="N225" s="8"/>
      <c r="O225" s="8"/>
      <c r="P225" s="8"/>
      <c r="Q225" s="8"/>
      <c r="R225" s="8"/>
      <c r="S225" s="50">
        <v>0.5</v>
      </c>
      <c r="T225" s="17"/>
      <c r="U225" s="17"/>
      <c r="V225" s="8"/>
      <c r="W225" s="17"/>
      <c r="X225" s="17"/>
      <c r="Y225" s="17"/>
      <c r="Z225" s="17"/>
      <c r="AA225" s="17"/>
      <c r="AB225" s="19"/>
      <c r="AC225" s="67"/>
    </row>
    <row r="226" spans="1:29" x14ac:dyDescent="0.2">
      <c r="A226" s="96"/>
      <c r="B226" s="103">
        <f>IF(AND('AES Indiana Bill Calc.'!$D$17="SH",'AES Indiana Bill Calc.'!$D$18="Yes 50%",'AES Indiana Bill Calc.'!$D$20="Yes 2018"),'AES Indiana Bill Calc.'!$D$19,-1)</f>
        <v>-1</v>
      </c>
      <c r="C226" s="1" t="s">
        <v>149</v>
      </c>
      <c r="F226" s="36" t="s">
        <v>176</v>
      </c>
      <c r="G226" s="17">
        <f>SUM(J226:M226,O226:P226,R226:AA226)</f>
        <v>54.88</v>
      </c>
      <c r="H226" s="19" t="e">
        <f>IF(ISBLANK(B226),0,+#REF!/B226)</f>
        <v>#REF!</v>
      </c>
      <c r="I226" s="19"/>
      <c r="J226" s="82">
        <f>IF(ISBLANK(B226),0,+J$199)</f>
        <v>55</v>
      </c>
      <c r="K226" s="82">
        <f>ROUND($B226*K$199,2)</f>
        <v>-0.12</v>
      </c>
      <c r="L226" s="82"/>
      <c r="M226" s="41"/>
      <c r="N226" s="17">
        <f>SUM(K226:L226)</f>
        <v>-0.12</v>
      </c>
      <c r="O226" s="41"/>
      <c r="P226" s="41"/>
      <c r="Q226" s="41"/>
      <c r="R226" s="41"/>
      <c r="S226" s="42">
        <f>ROUND($B226*S$199*S225,2)</f>
        <v>0</v>
      </c>
      <c r="T226" s="42">
        <f>ROUND($B226*T$199,2)</f>
        <v>0</v>
      </c>
      <c r="U226" s="42">
        <f>ROUND($B226*U$199,2)</f>
        <v>0</v>
      </c>
      <c r="V226" s="41">
        <f>ROUND($B226*V$192,2)</f>
        <v>0</v>
      </c>
      <c r="W226" s="42">
        <f>ROUND($B226*W$199,2)</f>
        <v>0</v>
      </c>
      <c r="X226" s="42">
        <f>ROUND($B226*X$199,2)</f>
        <v>0</v>
      </c>
      <c r="Y226" s="42">
        <f>ROUND($B226*Y$199,2)</f>
        <v>0</v>
      </c>
      <c r="Z226" s="42">
        <f>ROUND($B226*Z$199,2)</f>
        <v>0</v>
      </c>
      <c r="AA226" s="42">
        <f>ROUND($B226*AA$199,2)</f>
        <v>0</v>
      </c>
      <c r="AB226" s="19">
        <f>SUM(U$199:AA$199)+(-V$199+V193)</f>
        <v>3.4330000000000003E-3</v>
      </c>
      <c r="AC226" s="94" t="str">
        <f>+F226</f>
        <v>SH8</v>
      </c>
    </row>
    <row r="227" spans="1:29" x14ac:dyDescent="0.2">
      <c r="B227" s="103">
        <v>-1</v>
      </c>
      <c r="C227" s="9"/>
      <c r="F227" s="36"/>
      <c r="G227" s="17"/>
      <c r="H227" s="19"/>
      <c r="I227" s="19"/>
      <c r="J227" s="16"/>
      <c r="K227" s="16"/>
      <c r="L227" s="16"/>
      <c r="M227" s="8"/>
      <c r="N227" s="8"/>
      <c r="O227" s="8"/>
      <c r="P227" s="8"/>
      <c r="Q227" s="8"/>
      <c r="R227" s="8"/>
      <c r="S227" s="50">
        <v>0.25</v>
      </c>
      <c r="T227" s="17"/>
      <c r="U227" s="17"/>
      <c r="V227" s="8"/>
      <c r="W227" s="17"/>
      <c r="X227" s="17"/>
      <c r="Y227" s="17"/>
      <c r="Z227" s="17"/>
      <c r="AA227" s="17"/>
      <c r="AB227" s="19"/>
      <c r="AC227" s="67"/>
    </row>
    <row r="228" spans="1:29" x14ac:dyDescent="0.2">
      <c r="A228" s="96"/>
      <c r="B228" s="103">
        <f>IF(AND('AES Indiana Bill Calc.'!$D$17="SH",'AES Indiana Bill Calc.'!$D$18="Yes 25%",'AES Indiana Bill Calc.'!$D$20="Yes 2018"),'AES Indiana Bill Calc.'!$D$19,-1)</f>
        <v>-1</v>
      </c>
      <c r="C228" s="1" t="s">
        <v>150</v>
      </c>
      <c r="F228" s="36" t="s">
        <v>176</v>
      </c>
      <c r="G228" s="17">
        <f>SUM(J228:M228,O228:P228,R228:AA228)</f>
        <v>54.88</v>
      </c>
      <c r="H228" s="19" t="e">
        <f>IF(ISBLANK(B228),0,+#REF!/B228)</f>
        <v>#REF!</v>
      </c>
      <c r="I228" s="19"/>
      <c r="J228" s="82">
        <f>IF(ISBLANK(B228),0,+J$199)</f>
        <v>55</v>
      </c>
      <c r="K228" s="82">
        <f>ROUND($B228*K$199,2)</f>
        <v>-0.12</v>
      </c>
      <c r="L228" s="82"/>
      <c r="M228" s="41"/>
      <c r="N228" s="17">
        <f>SUM(K228:L228)</f>
        <v>-0.12</v>
      </c>
      <c r="O228" s="41"/>
      <c r="P228" s="41"/>
      <c r="Q228" s="41"/>
      <c r="R228" s="41"/>
      <c r="S228" s="42">
        <f>ROUND($B228*S$199*S227,2)</f>
        <v>0</v>
      </c>
      <c r="T228" s="42">
        <f>ROUND($B228*T$199,2)</f>
        <v>0</v>
      </c>
      <c r="U228" s="42">
        <f>ROUND($B228*U$199,2)</f>
        <v>0</v>
      </c>
      <c r="V228" s="41">
        <f>ROUND($B228*V$192,2)</f>
        <v>0</v>
      </c>
      <c r="W228" s="42">
        <f>ROUND($B228*W$199,2)</f>
        <v>0</v>
      </c>
      <c r="X228" s="42">
        <f>ROUND($B228*X$199,2)</f>
        <v>0</v>
      </c>
      <c r="Y228" s="42">
        <f>ROUND($B228*Y$199,2)</f>
        <v>0</v>
      </c>
      <c r="Z228" s="42">
        <f>ROUND($B228*Z$199,2)</f>
        <v>0</v>
      </c>
      <c r="AA228" s="42">
        <f>ROUND($B228*AA$199,2)</f>
        <v>0</v>
      </c>
      <c r="AB228" s="19">
        <f>SUM(U$199:AA$199)+(-V$199+V195)</f>
        <v>5.0100000000000144E-4</v>
      </c>
      <c r="AC228" s="94" t="str">
        <f>+F228</f>
        <v>SH8</v>
      </c>
    </row>
    <row r="229" spans="1:29" x14ac:dyDescent="0.2">
      <c r="B229" s="103">
        <v>-1</v>
      </c>
      <c r="C229" s="9"/>
      <c r="F229" s="36"/>
      <c r="G229" s="17"/>
      <c r="H229" s="19"/>
      <c r="I229" s="19"/>
      <c r="J229" s="16"/>
      <c r="K229" s="16"/>
      <c r="L229" s="16"/>
      <c r="M229" s="8"/>
      <c r="N229" s="8"/>
      <c r="O229" s="8"/>
      <c r="P229" s="8"/>
      <c r="Q229" s="8"/>
      <c r="R229" s="8"/>
      <c r="S229" s="50">
        <v>0.1</v>
      </c>
      <c r="T229" s="17"/>
      <c r="U229" s="17"/>
      <c r="V229" s="8"/>
      <c r="W229" s="17"/>
      <c r="X229" s="17"/>
      <c r="Y229" s="17"/>
      <c r="Z229" s="17"/>
      <c r="AA229" s="17"/>
      <c r="AB229" s="19"/>
      <c r="AC229" s="67"/>
    </row>
    <row r="230" spans="1:29" x14ac:dyDescent="0.2">
      <c r="A230" s="96"/>
      <c r="B230" s="103">
        <f>IF(AND('AES Indiana Bill Calc.'!$D$17="SH",'AES Indiana Bill Calc.'!$D$18="Yes 10%",'AES Indiana Bill Calc.'!$D$20="Yes 2018"),'AES Indiana Bill Calc.'!$D$19,-1)</f>
        <v>-1</v>
      </c>
      <c r="C230" s="1" t="s">
        <v>164</v>
      </c>
      <c r="F230" s="36" t="s">
        <v>176</v>
      </c>
      <c r="G230" s="17">
        <f>SUM(J230:M230,O230:P230,R230:AA230)</f>
        <v>54.88</v>
      </c>
      <c r="H230" s="19" t="e">
        <f>IF(ISBLANK(B230),0,+#REF!/B230)</f>
        <v>#REF!</v>
      </c>
      <c r="I230" s="19"/>
      <c r="J230" s="82">
        <f>IF(ISBLANK(B230),0,+J$199)</f>
        <v>55</v>
      </c>
      <c r="K230" s="82">
        <f>ROUND($B230*K$199,2)</f>
        <v>-0.12</v>
      </c>
      <c r="L230" s="82"/>
      <c r="M230" s="41"/>
      <c r="N230" s="17">
        <f>SUM(K230:L230)</f>
        <v>-0.12</v>
      </c>
      <c r="O230" s="41"/>
      <c r="P230" s="41"/>
      <c r="Q230" s="41"/>
      <c r="R230" s="41"/>
      <c r="S230" s="42">
        <f>ROUND($B230*S$199*S229,2)</f>
        <v>0</v>
      </c>
      <c r="T230" s="42">
        <f>ROUND($B230*T$199,2)</f>
        <v>0</v>
      </c>
      <c r="U230" s="42">
        <f>ROUND($B230*U$199,2)</f>
        <v>0</v>
      </c>
      <c r="V230" s="41">
        <f>ROUND($B230*V$192,2)</f>
        <v>0</v>
      </c>
      <c r="W230" s="42">
        <f>ROUND($B230*W$199,2)</f>
        <v>0</v>
      </c>
      <c r="X230" s="42">
        <f>ROUND($B230*X$199,2)</f>
        <v>0</v>
      </c>
      <c r="Y230" s="42">
        <f>ROUND($B230*Y$199,2)</f>
        <v>0</v>
      </c>
      <c r="Z230" s="42">
        <f>ROUND($B230*Z$199,2)</f>
        <v>0</v>
      </c>
      <c r="AA230" s="42">
        <f>ROUND($B230*AA$199,2)</f>
        <v>0</v>
      </c>
      <c r="AB230" s="19">
        <f>SUM(U$199:AA$199)+(-V$199+V200)</f>
        <v>3.4420000000000006E-3</v>
      </c>
      <c r="AC230" s="94" t="str">
        <f>+F230</f>
        <v>SH8</v>
      </c>
    </row>
    <row r="231" spans="1:29" x14ac:dyDescent="0.2">
      <c r="B231" s="103">
        <v>-1</v>
      </c>
      <c r="C231" s="9"/>
      <c r="F231" s="36"/>
      <c r="G231" s="17"/>
      <c r="H231" s="19"/>
      <c r="I231" s="19"/>
      <c r="J231" s="16"/>
      <c r="K231" s="16"/>
      <c r="L231" s="16"/>
      <c r="M231" s="8"/>
      <c r="N231" s="8"/>
      <c r="O231" s="8"/>
      <c r="P231" s="8"/>
      <c r="Q231" s="8"/>
      <c r="R231" s="8"/>
      <c r="S231" s="50">
        <v>0</v>
      </c>
      <c r="T231" s="17"/>
      <c r="U231" s="17"/>
      <c r="V231" s="8"/>
      <c r="W231" s="17"/>
      <c r="X231" s="17"/>
      <c r="Y231" s="17"/>
      <c r="Z231" s="17"/>
      <c r="AA231" s="17"/>
      <c r="AB231" s="19"/>
      <c r="AC231" s="67"/>
    </row>
    <row r="232" spans="1:29" x14ac:dyDescent="0.2">
      <c r="A232" s="96"/>
      <c r="B232" s="103">
        <f>IF(AND('AES Indiana Bill Calc.'!$D$17="SH",'AES Indiana Bill Calc.'!$D$18="No",'AES Indiana Bill Calc.'!$D$20="Yes 2018"),'AES Indiana Bill Calc.'!$D$19,-1)</f>
        <v>-1</v>
      </c>
      <c r="C232" s="1" t="s">
        <v>147</v>
      </c>
      <c r="F232" s="36" t="s">
        <v>176</v>
      </c>
      <c r="G232" s="17">
        <f>SUM(J232:M232,O232:P232,R232:AA232)</f>
        <v>54.88</v>
      </c>
      <c r="H232" s="19" t="e">
        <f>IF(ISBLANK(B232),0,+#REF!/B232)</f>
        <v>#REF!</v>
      </c>
      <c r="I232" s="19"/>
      <c r="J232" s="82">
        <f>IF(ISBLANK(B232),0,+J$199)</f>
        <v>55</v>
      </c>
      <c r="K232" s="82">
        <f>ROUND($B232*K$199,2)</f>
        <v>-0.12</v>
      </c>
      <c r="L232" s="82"/>
      <c r="M232" s="41"/>
      <c r="N232" s="17">
        <f>SUM(K232:L232)</f>
        <v>-0.12</v>
      </c>
      <c r="O232" s="41"/>
      <c r="P232" s="41"/>
      <c r="Q232" s="41"/>
      <c r="R232" s="41"/>
      <c r="S232" s="42">
        <f>ROUND($B232*S$199*S231,2)</f>
        <v>0</v>
      </c>
      <c r="T232" s="42">
        <f>ROUND($B232*T$199,2)</f>
        <v>0</v>
      </c>
      <c r="U232" s="42">
        <f>ROUND($B232*U$199,2)</f>
        <v>0</v>
      </c>
      <c r="V232" s="41">
        <f>ROUND($B232*V$192,2)</f>
        <v>0</v>
      </c>
      <c r="W232" s="42">
        <f>ROUND($B232*W$199,2)</f>
        <v>0</v>
      </c>
      <c r="X232" s="42">
        <f>ROUND($B232*X$199,2)</f>
        <v>0</v>
      </c>
      <c r="Y232" s="42">
        <f>ROUND($B232*Y$199,2)</f>
        <v>0</v>
      </c>
      <c r="Z232" s="42">
        <f>ROUND($B232*Z$199,2)</f>
        <v>0</v>
      </c>
      <c r="AA232" s="42">
        <f>ROUND($B232*AA$199,2)</f>
        <v>0</v>
      </c>
      <c r="AB232" s="19" t="e">
        <f>SUM(U$199:AA$199)+(-V$199+V202)</f>
        <v>#VALUE!</v>
      </c>
      <c r="AC232" s="94" t="str">
        <f>+F232</f>
        <v>SH8</v>
      </c>
    </row>
    <row r="233" spans="1:29" x14ac:dyDescent="0.2">
      <c r="A233" s="96"/>
      <c r="B233" s="97">
        <v>-1</v>
      </c>
      <c r="C233" s="97"/>
      <c r="F233" s="36"/>
      <c r="G233" s="98"/>
      <c r="H233" s="19"/>
      <c r="I233" s="19"/>
      <c r="J233" s="104"/>
      <c r="K233" s="104"/>
      <c r="L233" s="104"/>
      <c r="M233" s="87"/>
      <c r="N233" s="87"/>
      <c r="O233" s="87"/>
      <c r="P233" s="87"/>
      <c r="Q233" s="87"/>
      <c r="R233" s="87"/>
      <c r="S233" s="50">
        <v>1</v>
      </c>
      <c r="T233" s="98"/>
      <c r="U233" s="98"/>
      <c r="V233" s="87"/>
      <c r="W233" s="98"/>
      <c r="X233" s="98"/>
      <c r="Y233" s="98"/>
      <c r="Z233" s="98"/>
      <c r="AA233" s="98"/>
      <c r="AB233" s="19"/>
      <c r="AC233" s="105"/>
    </row>
    <row r="234" spans="1:29" x14ac:dyDescent="0.2">
      <c r="A234" s="96"/>
      <c r="B234" s="103">
        <f>IF(AND('AES Indiana Bill Calc.'!$D$17="SH",'AES Indiana Bill Calc.'!$D$18="Yes 100%",'AES Indiana Bill Calc.'!$D$20="Yes 2019"),'AES Indiana Bill Calc.'!$D$19,-1)</f>
        <v>-1</v>
      </c>
      <c r="C234" s="1" t="s">
        <v>148</v>
      </c>
      <c r="F234" s="36" t="s">
        <v>177</v>
      </c>
      <c r="G234" s="17">
        <f>SUM(J234:M234,O234:P234,R234:AA234)</f>
        <v>54.88</v>
      </c>
      <c r="H234" s="19" t="e">
        <f>IF(ISBLANK(B234),0,+#REF!/B234)</f>
        <v>#REF!</v>
      </c>
      <c r="I234" s="19"/>
      <c r="J234" s="82">
        <f>IF(ISBLANK(B234),0,+J$199)</f>
        <v>55</v>
      </c>
      <c r="K234" s="82">
        <f>ROUND($B234*K$199,2)</f>
        <v>-0.12</v>
      </c>
      <c r="L234" s="82"/>
      <c r="M234" s="41"/>
      <c r="N234" s="17">
        <f>SUM(K234:L234)</f>
        <v>-0.12</v>
      </c>
      <c r="O234" s="41"/>
      <c r="P234" s="41"/>
      <c r="Q234" s="41"/>
      <c r="R234" s="41"/>
      <c r="S234" s="42">
        <f>ROUND($B234*S$199*S233,2)</f>
        <v>0</v>
      </c>
      <c r="T234" s="42">
        <f>ROUND($B234*T$199,2)</f>
        <v>0</v>
      </c>
      <c r="U234" s="42">
        <f>ROUND($B234*U$199,2)</f>
        <v>0</v>
      </c>
      <c r="V234" s="41">
        <f>ROUND($B234*V$193,2)</f>
        <v>0</v>
      </c>
      <c r="W234" s="42">
        <f>ROUND($B234*W$199,2)</f>
        <v>0</v>
      </c>
      <c r="X234" s="42">
        <f>ROUND($B234*X$199,2)</f>
        <v>0</v>
      </c>
      <c r="Y234" s="42">
        <f>ROUND($B234*Y$199,2)</f>
        <v>0</v>
      </c>
      <c r="Z234" s="42">
        <f>ROUND($B234*Z$199,2)</f>
        <v>0</v>
      </c>
      <c r="AA234" s="42">
        <f>ROUND($B234*AA$199,2)</f>
        <v>0</v>
      </c>
      <c r="AB234" s="19">
        <f>SUM(U$199:AA$199)+(-V$199+V199)</f>
        <v>1.0092E-2</v>
      </c>
      <c r="AC234" s="94" t="str">
        <f>+F234</f>
        <v>SH9</v>
      </c>
    </row>
    <row r="235" spans="1:29" x14ac:dyDescent="0.2">
      <c r="A235" s="96"/>
      <c r="B235" s="97">
        <v>-1</v>
      </c>
      <c r="C235" s="9"/>
      <c r="F235" s="36"/>
      <c r="G235" s="98"/>
      <c r="H235" s="19"/>
      <c r="I235" s="19"/>
      <c r="J235" s="104"/>
      <c r="K235" s="104"/>
      <c r="L235" s="104"/>
      <c r="M235" s="87"/>
      <c r="N235" s="87"/>
      <c r="O235" s="87"/>
      <c r="P235" s="87"/>
      <c r="Q235" s="87"/>
      <c r="R235" s="87"/>
      <c r="S235" s="50">
        <v>0.5</v>
      </c>
      <c r="T235" s="98"/>
      <c r="U235" s="98"/>
      <c r="V235" s="87"/>
      <c r="W235" s="98"/>
      <c r="X235" s="98"/>
      <c r="Y235" s="98"/>
      <c r="Z235" s="98"/>
      <c r="AA235" s="98"/>
      <c r="AB235" s="19"/>
      <c r="AC235" s="105"/>
    </row>
    <row r="236" spans="1:29" x14ac:dyDescent="0.2">
      <c r="A236" s="96"/>
      <c r="B236" s="103">
        <f>IF(AND('AES Indiana Bill Calc.'!$D$17="SH",'AES Indiana Bill Calc.'!$D$18="Yes 50%",'AES Indiana Bill Calc.'!$D$20="Yes 2019"),'AES Indiana Bill Calc.'!$D$19,-1)</f>
        <v>-1</v>
      </c>
      <c r="C236" s="1" t="s">
        <v>149</v>
      </c>
      <c r="F236" s="36" t="s">
        <v>177</v>
      </c>
      <c r="G236" s="17">
        <f>SUM(J236:M236,O236:P236,R236:AA236)</f>
        <v>54.88</v>
      </c>
      <c r="H236" s="19" t="e">
        <f>IF(ISBLANK(B236),0,+#REF!/B236)</f>
        <v>#REF!</v>
      </c>
      <c r="I236" s="19"/>
      <c r="J236" s="82">
        <f>IF(ISBLANK(B236),0,+J$199)</f>
        <v>55</v>
      </c>
      <c r="K236" s="82">
        <f>ROUND($B236*K$199,2)</f>
        <v>-0.12</v>
      </c>
      <c r="L236" s="82"/>
      <c r="M236" s="41"/>
      <c r="N236" s="17">
        <f>SUM(K236:L236)</f>
        <v>-0.12</v>
      </c>
      <c r="O236" s="41"/>
      <c r="P236" s="41"/>
      <c r="Q236" s="41"/>
      <c r="R236" s="41"/>
      <c r="S236" s="42">
        <f>ROUND($B236*S$199*S235,2)</f>
        <v>0</v>
      </c>
      <c r="T236" s="42">
        <f>ROUND($B236*T$199,2)</f>
        <v>0</v>
      </c>
      <c r="U236" s="42">
        <f>ROUND($B236*U$199,2)</f>
        <v>0</v>
      </c>
      <c r="V236" s="41">
        <f>ROUND($B236*V$193,2)</f>
        <v>0</v>
      </c>
      <c r="W236" s="42">
        <f>ROUND($B236*W$199,2)</f>
        <v>0</v>
      </c>
      <c r="X236" s="42">
        <f>ROUND($B236*X$199,2)</f>
        <v>0</v>
      </c>
      <c r="Y236" s="42">
        <f>ROUND($B236*Y$199,2)</f>
        <v>0</v>
      </c>
      <c r="Z236" s="42">
        <f>ROUND($B236*Z$199,2)</f>
        <v>0</v>
      </c>
      <c r="AA236" s="42">
        <f>ROUND($B236*AA$199,2)</f>
        <v>0</v>
      </c>
      <c r="AB236" s="19">
        <f>SUM(U$199:AA$199)+(-V$199+V201)</f>
        <v>22.003442</v>
      </c>
      <c r="AC236" s="94" t="str">
        <f>+F236</f>
        <v>SH9</v>
      </c>
    </row>
    <row r="237" spans="1:29" x14ac:dyDescent="0.2">
      <c r="A237" s="96"/>
      <c r="B237" s="97">
        <v>-1</v>
      </c>
      <c r="C237" s="9"/>
      <c r="F237" s="36"/>
      <c r="G237" s="98"/>
      <c r="H237" s="19"/>
      <c r="I237" s="19"/>
      <c r="J237" s="104"/>
      <c r="K237" s="104"/>
      <c r="L237" s="104"/>
      <c r="M237" s="87"/>
      <c r="N237" s="87"/>
      <c r="O237" s="87"/>
      <c r="P237" s="87"/>
      <c r="Q237" s="87"/>
      <c r="R237" s="87"/>
      <c r="S237" s="50">
        <v>0.25</v>
      </c>
      <c r="T237" s="98"/>
      <c r="U237" s="98"/>
      <c r="V237" s="87"/>
      <c r="W237" s="98"/>
      <c r="X237" s="98"/>
      <c r="Y237" s="98"/>
      <c r="Z237" s="98"/>
      <c r="AA237" s="98"/>
      <c r="AB237" s="19"/>
      <c r="AC237" s="105"/>
    </row>
    <row r="238" spans="1:29" x14ac:dyDescent="0.2">
      <c r="A238" s="96"/>
      <c r="B238" s="103">
        <f>IF(AND('AES Indiana Bill Calc.'!$D$17="SH",'AES Indiana Bill Calc.'!$D$18="Yes 25%",'AES Indiana Bill Calc.'!$D$20="Yes 2019"),'AES Indiana Bill Calc.'!$D$19,-1)</f>
        <v>-1</v>
      </c>
      <c r="C238" s="1" t="s">
        <v>150</v>
      </c>
      <c r="F238" s="36" t="s">
        <v>177</v>
      </c>
      <c r="G238" s="17">
        <f>SUM(J238:M238,O238:P238,R238:AA238)</f>
        <v>54.88</v>
      </c>
      <c r="H238" s="19" t="e">
        <f>IF(ISBLANK(B238),0,+#REF!/B238)</f>
        <v>#REF!</v>
      </c>
      <c r="I238" s="19"/>
      <c r="J238" s="82">
        <f>IF(ISBLANK(B238),0,+J$199)</f>
        <v>55</v>
      </c>
      <c r="K238" s="82">
        <f>ROUND($B238*K$199,2)</f>
        <v>-0.12</v>
      </c>
      <c r="L238" s="82"/>
      <c r="M238" s="41"/>
      <c r="N238" s="17">
        <f>SUM(K238:L238)</f>
        <v>-0.12</v>
      </c>
      <c r="O238" s="41"/>
      <c r="P238" s="41"/>
      <c r="Q238" s="41"/>
      <c r="R238" s="41"/>
      <c r="S238" s="42">
        <f>ROUND($B238*S$199*S237,2)</f>
        <v>0</v>
      </c>
      <c r="T238" s="42">
        <f>ROUND($B238*T$199,2)</f>
        <v>0</v>
      </c>
      <c r="U238" s="42">
        <f>ROUND($B238*U$199,2)</f>
        <v>0</v>
      </c>
      <c r="V238" s="41">
        <f>ROUND($B238*V$193,2)</f>
        <v>0</v>
      </c>
      <c r="W238" s="42">
        <f>ROUND($B238*W$199,2)</f>
        <v>0</v>
      </c>
      <c r="X238" s="42">
        <f>ROUND($B238*X$199,2)</f>
        <v>0</v>
      </c>
      <c r="Y238" s="42">
        <f>ROUND($B238*Y$199,2)</f>
        <v>0</v>
      </c>
      <c r="Z238" s="42">
        <f>ROUND($B238*Z$199,2)</f>
        <v>0</v>
      </c>
      <c r="AA238" s="42">
        <f>ROUND($B238*AA$199,2)</f>
        <v>0</v>
      </c>
      <c r="AB238" s="19">
        <f>SUM(U$199:AA$199)+(-V$199+V203)</f>
        <v>3.4420000000000006E-3</v>
      </c>
      <c r="AC238" s="94" t="str">
        <f>+F238</f>
        <v>SH9</v>
      </c>
    </row>
    <row r="239" spans="1:29" x14ac:dyDescent="0.2">
      <c r="A239" s="96"/>
      <c r="B239" s="97">
        <v>-1</v>
      </c>
      <c r="C239" s="9"/>
      <c r="F239" s="36"/>
      <c r="G239" s="98"/>
      <c r="H239" s="19"/>
      <c r="I239" s="19"/>
      <c r="J239" s="104"/>
      <c r="K239" s="104"/>
      <c r="L239" s="104"/>
      <c r="M239" s="87"/>
      <c r="N239" s="87"/>
      <c r="O239" s="87"/>
      <c r="P239" s="87"/>
      <c r="Q239" s="87"/>
      <c r="R239" s="87"/>
      <c r="S239" s="50">
        <v>0.1</v>
      </c>
      <c r="T239" s="98"/>
      <c r="U239" s="98"/>
      <c r="V239" s="87"/>
      <c r="W239" s="98"/>
      <c r="X239" s="98"/>
      <c r="Y239" s="98"/>
      <c r="Z239" s="98"/>
      <c r="AA239" s="98"/>
      <c r="AB239" s="19"/>
      <c r="AC239" s="105"/>
    </row>
    <row r="240" spans="1:29" x14ac:dyDescent="0.2">
      <c r="A240" s="96"/>
      <c r="B240" s="103">
        <f>IF(AND('AES Indiana Bill Calc.'!$D$17="SH",'AES Indiana Bill Calc.'!$D$18="Yes 10%",'AES Indiana Bill Calc.'!$D$20="Yes 2019"),'AES Indiana Bill Calc.'!$D$19,-1)</f>
        <v>-1</v>
      </c>
      <c r="C240" s="1" t="s">
        <v>164</v>
      </c>
      <c r="F240" s="36" t="s">
        <v>177</v>
      </c>
      <c r="G240" s="17">
        <f>SUM(J240:M240,O240:P240,R240:AA240)</f>
        <v>54.88</v>
      </c>
      <c r="H240" s="19" t="e">
        <f>IF(ISBLANK(B240),0,+#REF!/B240)</f>
        <v>#REF!</v>
      </c>
      <c r="I240" s="19"/>
      <c r="J240" s="82">
        <f>IF(ISBLANK(B240),0,+J$199)</f>
        <v>55</v>
      </c>
      <c r="K240" s="82">
        <f>ROUND($B240*K$199,2)</f>
        <v>-0.12</v>
      </c>
      <c r="L240" s="82"/>
      <c r="M240" s="41"/>
      <c r="N240" s="17">
        <f>SUM(K240:L240)</f>
        <v>-0.12</v>
      </c>
      <c r="O240" s="41"/>
      <c r="P240" s="41"/>
      <c r="Q240" s="41"/>
      <c r="R240" s="41"/>
      <c r="S240" s="42">
        <f>ROUND($B240*S$199*S239,2)</f>
        <v>0</v>
      </c>
      <c r="T240" s="42">
        <f>ROUND($B240*T$199,2)</f>
        <v>0</v>
      </c>
      <c r="U240" s="42">
        <f>ROUND($B240*U$199,2)</f>
        <v>0</v>
      </c>
      <c r="V240" s="41">
        <f>ROUND($B240*V$193,2)</f>
        <v>0</v>
      </c>
      <c r="W240" s="42">
        <f>ROUND($B240*W$199,2)</f>
        <v>0</v>
      </c>
      <c r="X240" s="42">
        <f>ROUND($B240*X$199,2)</f>
        <v>0</v>
      </c>
      <c r="Y240" s="42">
        <f>ROUND($B240*Y$199,2)</f>
        <v>0</v>
      </c>
      <c r="Z240" s="42">
        <f>ROUND($B240*Z$199,2)</f>
        <v>0</v>
      </c>
      <c r="AA240" s="42">
        <f>ROUND($B240*AA$199,2)</f>
        <v>0</v>
      </c>
      <c r="AB240" s="19">
        <f>SUM(U$199:AA$199)+(-V$199+V205)</f>
        <v>3.4420000000000006E-3</v>
      </c>
      <c r="AC240" s="94" t="str">
        <f>+F240</f>
        <v>SH9</v>
      </c>
    </row>
    <row r="241" spans="1:29" x14ac:dyDescent="0.2">
      <c r="A241" s="96"/>
      <c r="B241" s="97">
        <v>-1</v>
      </c>
      <c r="C241" s="9"/>
      <c r="F241" s="36"/>
      <c r="G241" s="98"/>
      <c r="H241" s="19"/>
      <c r="I241" s="19"/>
      <c r="J241" s="104"/>
      <c r="K241" s="104"/>
      <c r="L241" s="104"/>
      <c r="M241" s="87"/>
      <c r="N241" s="87"/>
      <c r="O241" s="87"/>
      <c r="P241" s="87"/>
      <c r="Q241" s="87"/>
      <c r="R241" s="87"/>
      <c r="S241" s="50">
        <v>0</v>
      </c>
      <c r="T241" s="98"/>
      <c r="U241" s="98"/>
      <c r="V241" s="87"/>
      <c r="W241" s="98"/>
      <c r="X241" s="98"/>
      <c r="Y241" s="98"/>
      <c r="Z241" s="98"/>
      <c r="AA241" s="98"/>
      <c r="AB241" s="19"/>
      <c r="AC241" s="105"/>
    </row>
    <row r="242" spans="1:29" x14ac:dyDescent="0.2">
      <c r="A242" s="96"/>
      <c r="B242" s="103">
        <f>IF(AND('AES Indiana Bill Calc.'!$D$17="SH",'AES Indiana Bill Calc.'!$D$18="No",'AES Indiana Bill Calc.'!$D$20="Yes 2019"),'AES Indiana Bill Calc.'!$D$19,-1)</f>
        <v>-1</v>
      </c>
      <c r="C242" s="1" t="s">
        <v>147</v>
      </c>
      <c r="F242" s="36" t="s">
        <v>177</v>
      </c>
      <c r="G242" s="17">
        <f>SUM(J242:M242,O242:P242,R242:AA242)</f>
        <v>54.88</v>
      </c>
      <c r="H242" s="19" t="e">
        <f>IF(ISBLANK(B242),0,+#REF!/B242)</f>
        <v>#REF!</v>
      </c>
      <c r="I242" s="19"/>
      <c r="J242" s="82">
        <f>IF(ISBLANK(B242),0,+J$199)</f>
        <v>55</v>
      </c>
      <c r="K242" s="82">
        <f>ROUND($B242*K$199,2)</f>
        <v>-0.12</v>
      </c>
      <c r="L242" s="82"/>
      <c r="M242" s="41"/>
      <c r="N242" s="17">
        <f>SUM(K242:L242)</f>
        <v>-0.12</v>
      </c>
      <c r="O242" s="41"/>
      <c r="P242" s="41"/>
      <c r="Q242" s="41"/>
      <c r="R242" s="41"/>
      <c r="S242" s="42">
        <f>ROUND($B242*S$199*S241,2)</f>
        <v>0</v>
      </c>
      <c r="T242" s="42">
        <f>ROUND($B242*T$199,2)</f>
        <v>0</v>
      </c>
      <c r="U242" s="42">
        <f>ROUND($B242*U$199,2)</f>
        <v>0</v>
      </c>
      <c r="V242" s="41">
        <f>ROUND($B242*V$193,2)</f>
        <v>0</v>
      </c>
      <c r="W242" s="42">
        <f>ROUND($B242*W$199,2)</f>
        <v>0</v>
      </c>
      <c r="X242" s="42">
        <f>ROUND($B242*X$199,2)</f>
        <v>0</v>
      </c>
      <c r="Y242" s="42">
        <f>ROUND($B242*Y$199,2)</f>
        <v>0</v>
      </c>
      <c r="Z242" s="42">
        <f>ROUND($B242*Z$199,2)</f>
        <v>0</v>
      </c>
      <c r="AA242" s="42">
        <f>ROUND($B242*AA$199,2)</f>
        <v>0</v>
      </c>
      <c r="AB242" s="19">
        <f>SUM(U$199:AA$199)+(-V$199+V207)</f>
        <v>3.4420000000000006E-3</v>
      </c>
      <c r="AC242" s="94" t="str">
        <f>+F242</f>
        <v>SH9</v>
      </c>
    </row>
    <row r="243" spans="1:29" x14ac:dyDescent="0.2">
      <c r="A243" s="96"/>
      <c r="B243" s="97">
        <v>-1</v>
      </c>
      <c r="C243" s="97"/>
      <c r="F243" s="36"/>
      <c r="G243" s="98"/>
      <c r="H243" s="19"/>
      <c r="I243" s="19"/>
      <c r="J243" s="104"/>
      <c r="K243" s="104"/>
      <c r="L243" s="104"/>
      <c r="M243" s="87"/>
      <c r="N243" s="87"/>
      <c r="O243" s="87"/>
      <c r="P243" s="87"/>
      <c r="Q243" s="87"/>
      <c r="R243" s="87"/>
      <c r="S243" s="50">
        <v>1</v>
      </c>
      <c r="T243" s="98"/>
      <c r="U243" s="98"/>
      <c r="V243" s="87"/>
      <c r="W243" s="98"/>
      <c r="X243" s="98"/>
      <c r="Y243" s="98"/>
      <c r="Z243" s="98"/>
      <c r="AA243" s="98"/>
      <c r="AB243" s="19"/>
      <c r="AC243" s="105"/>
    </row>
    <row r="244" spans="1:29" x14ac:dyDescent="0.2">
      <c r="A244" s="96"/>
      <c r="B244" s="103">
        <f>IF(AND('AES Indiana Bill Calc.'!$D$17="SH",'AES Indiana Bill Calc.'!$D$18="Yes 100%",'AES Indiana Bill Calc.'!$D$20="Yes 2020"),'AES Indiana Bill Calc.'!$D$19,-1)</f>
        <v>-1</v>
      </c>
      <c r="C244" s="1" t="s">
        <v>148</v>
      </c>
      <c r="F244" s="36" t="s">
        <v>178</v>
      </c>
      <c r="G244" s="17">
        <f>SUM(J244:M244,O244:P244,R244:AA244)</f>
        <v>54.88</v>
      </c>
      <c r="H244" s="19" t="e">
        <f>IF(ISBLANK(B244),0,+#REF!/B244)</f>
        <v>#REF!</v>
      </c>
      <c r="I244" s="19"/>
      <c r="J244" s="82">
        <f>IF(ISBLANK(B244),0,+J$199)</f>
        <v>55</v>
      </c>
      <c r="K244" s="82">
        <f>ROUND($B244*K$199,2)</f>
        <v>-0.12</v>
      </c>
      <c r="L244" s="82"/>
      <c r="M244" s="41"/>
      <c r="N244" s="17">
        <f>SUM(K244:L244)</f>
        <v>-0.12</v>
      </c>
      <c r="O244" s="41"/>
      <c r="P244" s="41"/>
      <c r="Q244" s="41"/>
      <c r="R244" s="41"/>
      <c r="S244" s="42">
        <f>ROUND($B244*S$199*S243,2)</f>
        <v>0</v>
      </c>
      <c r="T244" s="42">
        <f>ROUND($B244*T$199,2)</f>
        <v>0</v>
      </c>
      <c r="U244" s="42">
        <f>ROUND($B244*U$199,2)</f>
        <v>0</v>
      </c>
      <c r="V244" s="41">
        <f>ROUND($B244*V$194,2)</f>
        <v>0</v>
      </c>
      <c r="W244" s="42">
        <f>ROUND($B244*W$199,2)</f>
        <v>0</v>
      </c>
      <c r="X244" s="42">
        <f>ROUND($B244*X$199,2)</f>
        <v>0</v>
      </c>
      <c r="Y244" s="42">
        <f>ROUND($B244*Y$199,2)</f>
        <v>0</v>
      </c>
      <c r="Z244" s="42">
        <f>ROUND($B244*Z$199,2)</f>
        <v>0</v>
      </c>
      <c r="AA244" s="42">
        <f>ROUND($B244*AA$199,2)</f>
        <v>0</v>
      </c>
      <c r="AB244" s="19">
        <f>SUM(U$199:AA$199)+(-V$199+V209)</f>
        <v>3.4420000000000006E-3</v>
      </c>
      <c r="AC244" s="94" t="str">
        <f>+F244</f>
        <v>SH0</v>
      </c>
    </row>
    <row r="245" spans="1:29" x14ac:dyDescent="0.2">
      <c r="A245" s="96"/>
      <c r="B245" s="97">
        <v>-1</v>
      </c>
      <c r="C245" s="9"/>
      <c r="F245" s="36"/>
      <c r="G245" s="98"/>
      <c r="H245" s="19"/>
      <c r="I245" s="19"/>
      <c r="J245" s="104"/>
      <c r="K245" s="104"/>
      <c r="L245" s="104"/>
      <c r="M245" s="87"/>
      <c r="N245" s="87"/>
      <c r="O245" s="87"/>
      <c r="P245" s="87"/>
      <c r="Q245" s="87"/>
      <c r="R245" s="87"/>
      <c r="S245" s="50">
        <v>0.5</v>
      </c>
      <c r="T245" s="98"/>
      <c r="U245" s="98"/>
      <c r="V245" s="87"/>
      <c r="W245" s="98"/>
      <c r="X245" s="98"/>
      <c r="Y245" s="98"/>
      <c r="Z245" s="98"/>
      <c r="AA245" s="98"/>
      <c r="AB245" s="19"/>
      <c r="AC245" s="105"/>
    </row>
    <row r="246" spans="1:29" x14ac:dyDescent="0.2">
      <c r="A246" s="96"/>
      <c r="B246" s="103">
        <f>IF(AND('AES Indiana Bill Calc.'!$D$17="SH",'AES Indiana Bill Calc.'!$D$18="Yes 50%",'AES Indiana Bill Calc.'!$D$20="Yes 2020"),'AES Indiana Bill Calc.'!$D$19,-1)</f>
        <v>-1</v>
      </c>
      <c r="C246" s="1" t="s">
        <v>149</v>
      </c>
      <c r="F246" s="36" t="s">
        <v>178</v>
      </c>
      <c r="G246" s="17">
        <f>SUM(J246:M246,O246:P246,R246:AA246)</f>
        <v>54.88</v>
      </c>
      <c r="H246" s="19" t="e">
        <f>IF(ISBLANK(B246),0,+#REF!/B246)</f>
        <v>#REF!</v>
      </c>
      <c r="I246" s="19"/>
      <c r="J246" s="82">
        <f>IF(ISBLANK(B246),0,+J$199)</f>
        <v>55</v>
      </c>
      <c r="K246" s="82">
        <f>ROUND($B246*K$199,2)</f>
        <v>-0.12</v>
      </c>
      <c r="L246" s="82"/>
      <c r="M246" s="41"/>
      <c r="N246" s="17">
        <f>SUM(K246:L246)</f>
        <v>-0.12</v>
      </c>
      <c r="O246" s="41"/>
      <c r="P246" s="41"/>
      <c r="Q246" s="41"/>
      <c r="R246" s="41"/>
      <c r="S246" s="42">
        <f>ROUND($B246*S$199*S245,2)</f>
        <v>0</v>
      </c>
      <c r="T246" s="42">
        <f>ROUND($B246*T$199,2)</f>
        <v>0</v>
      </c>
      <c r="U246" s="42">
        <f>ROUND($B246*U$199,2)</f>
        <v>0</v>
      </c>
      <c r="V246" s="41">
        <f>ROUND($B246*V$194,2)</f>
        <v>0</v>
      </c>
      <c r="W246" s="42">
        <f>ROUND($B246*W$199,2)</f>
        <v>0</v>
      </c>
      <c r="X246" s="42">
        <f>ROUND($B246*X$199,2)</f>
        <v>0</v>
      </c>
      <c r="Y246" s="42">
        <f>ROUND($B246*Y$199,2)</f>
        <v>0</v>
      </c>
      <c r="Z246" s="42">
        <f>ROUND($B246*Z$199,2)</f>
        <v>0</v>
      </c>
      <c r="AA246" s="42">
        <f>ROUND($B246*AA$199,2)</f>
        <v>0</v>
      </c>
      <c r="AB246" s="19">
        <f>SUM(U$199:AA$199)+(-V$199+V211)</f>
        <v>3.4420000000000006E-3</v>
      </c>
      <c r="AC246" s="94" t="str">
        <f>+F246</f>
        <v>SH0</v>
      </c>
    </row>
    <row r="247" spans="1:29" x14ac:dyDescent="0.2">
      <c r="A247" s="96"/>
      <c r="B247" s="97">
        <v>-1</v>
      </c>
      <c r="C247" s="9"/>
      <c r="F247" s="36"/>
      <c r="G247" s="98"/>
      <c r="H247" s="19"/>
      <c r="I247" s="19"/>
      <c r="J247" s="104"/>
      <c r="K247" s="104"/>
      <c r="L247" s="104"/>
      <c r="M247" s="87"/>
      <c r="N247" s="87"/>
      <c r="O247" s="87"/>
      <c r="P247" s="87"/>
      <c r="Q247" s="87"/>
      <c r="R247" s="87"/>
      <c r="S247" s="50">
        <v>0.25</v>
      </c>
      <c r="T247" s="98"/>
      <c r="U247" s="98"/>
      <c r="V247" s="87"/>
      <c r="W247" s="98"/>
      <c r="X247" s="98"/>
      <c r="Y247" s="98"/>
      <c r="Z247" s="98"/>
      <c r="AA247" s="98"/>
      <c r="AB247" s="19"/>
      <c r="AC247" s="105"/>
    </row>
    <row r="248" spans="1:29" x14ac:dyDescent="0.2">
      <c r="A248" s="96"/>
      <c r="B248" s="103">
        <f>IF(AND('AES Indiana Bill Calc.'!$D$17="SH",'AES Indiana Bill Calc.'!$D$18="Yes 25%",'AES Indiana Bill Calc.'!$D$20="Yes 2020"),'AES Indiana Bill Calc.'!$D$19,-1)</f>
        <v>-1</v>
      </c>
      <c r="C248" s="1" t="s">
        <v>150</v>
      </c>
      <c r="F248" s="36" t="s">
        <v>178</v>
      </c>
      <c r="G248" s="17">
        <f>SUM(J248:M248,O248:P248,R248:AA248)</f>
        <v>54.88</v>
      </c>
      <c r="H248" s="19" t="e">
        <f>IF(ISBLANK(B248),0,+#REF!/B248)</f>
        <v>#REF!</v>
      </c>
      <c r="I248" s="19"/>
      <c r="J248" s="82">
        <f>IF(ISBLANK(B248),0,+J$199)</f>
        <v>55</v>
      </c>
      <c r="K248" s="82">
        <f>ROUND($B248*K$199,2)</f>
        <v>-0.12</v>
      </c>
      <c r="L248" s="82"/>
      <c r="M248" s="41"/>
      <c r="N248" s="17">
        <f>SUM(K248:L248)</f>
        <v>-0.12</v>
      </c>
      <c r="O248" s="41"/>
      <c r="P248" s="41"/>
      <c r="Q248" s="41"/>
      <c r="R248" s="41"/>
      <c r="S248" s="42">
        <f>ROUND($B248*S$199*S247,2)</f>
        <v>0</v>
      </c>
      <c r="T248" s="42">
        <f>ROUND($B248*T$199,2)</f>
        <v>0</v>
      </c>
      <c r="U248" s="42">
        <f>ROUND($B248*U$199,2)</f>
        <v>0</v>
      </c>
      <c r="V248" s="41">
        <f>ROUND($B248*V$194,2)</f>
        <v>0</v>
      </c>
      <c r="W248" s="42">
        <f>ROUND($B248*W$199,2)</f>
        <v>0</v>
      </c>
      <c r="X248" s="42">
        <f>ROUND($B248*X$199,2)</f>
        <v>0</v>
      </c>
      <c r="Y248" s="42">
        <f>ROUND($B248*Y$199,2)</f>
        <v>0</v>
      </c>
      <c r="Z248" s="42">
        <f>ROUND($B248*Z$199,2)</f>
        <v>0</v>
      </c>
      <c r="AA248" s="42">
        <f>ROUND($B248*AA$199,2)</f>
        <v>0</v>
      </c>
      <c r="AB248" s="19">
        <f>SUM(U$199:AA$199)+(-V$199+V213)</f>
        <v>3.4420000000000006E-3</v>
      </c>
      <c r="AC248" s="94" t="str">
        <f>+F248</f>
        <v>SH0</v>
      </c>
    </row>
    <row r="249" spans="1:29" x14ac:dyDescent="0.2">
      <c r="A249" s="96"/>
      <c r="B249" s="97">
        <v>-1</v>
      </c>
      <c r="C249" s="9"/>
      <c r="F249" s="36"/>
      <c r="G249" s="98"/>
      <c r="H249" s="19"/>
      <c r="I249" s="19"/>
      <c r="J249" s="104"/>
      <c r="K249" s="104"/>
      <c r="L249" s="104"/>
      <c r="M249" s="87"/>
      <c r="N249" s="87"/>
      <c r="O249" s="87"/>
      <c r="P249" s="87"/>
      <c r="Q249" s="87"/>
      <c r="R249" s="87"/>
      <c r="S249" s="50">
        <v>0.1</v>
      </c>
      <c r="T249" s="98"/>
      <c r="U249" s="98"/>
      <c r="V249" s="87"/>
      <c r="W249" s="98"/>
      <c r="X249" s="98"/>
      <c r="Y249" s="98"/>
      <c r="Z249" s="98"/>
      <c r="AA249" s="98"/>
      <c r="AB249" s="19"/>
      <c r="AC249" s="105"/>
    </row>
    <row r="250" spans="1:29" x14ac:dyDescent="0.2">
      <c r="A250" s="96"/>
      <c r="B250" s="103">
        <f>IF(AND('AES Indiana Bill Calc.'!$D$17="SH",'AES Indiana Bill Calc.'!$D$18="Yes 10%",'AES Indiana Bill Calc.'!$D$20="Yes 2020"),'AES Indiana Bill Calc.'!$D$19,-1)</f>
        <v>-1</v>
      </c>
      <c r="C250" s="1" t="s">
        <v>164</v>
      </c>
      <c r="F250" s="36" t="s">
        <v>178</v>
      </c>
      <c r="G250" s="17">
        <f>SUM(J250:M250,O250:P250,R250:AA250)</f>
        <v>54.88</v>
      </c>
      <c r="H250" s="19" t="e">
        <f>IF(ISBLANK(B250),0,+#REF!/B250)</f>
        <v>#REF!</v>
      </c>
      <c r="I250" s="19"/>
      <c r="J250" s="82">
        <f>IF(ISBLANK(B250),0,+J$199)</f>
        <v>55</v>
      </c>
      <c r="K250" s="82">
        <f>ROUND($B250*K$199,2)</f>
        <v>-0.12</v>
      </c>
      <c r="L250" s="82"/>
      <c r="M250" s="41"/>
      <c r="N250" s="17">
        <f>SUM(K250:L250)</f>
        <v>-0.12</v>
      </c>
      <c r="O250" s="41"/>
      <c r="P250" s="41"/>
      <c r="Q250" s="41"/>
      <c r="R250" s="41"/>
      <c r="S250" s="42">
        <f>ROUND($B250*S$199*S249,2)</f>
        <v>0</v>
      </c>
      <c r="T250" s="42">
        <f>ROUND($B250*T$199,2)</f>
        <v>0</v>
      </c>
      <c r="U250" s="42">
        <f>ROUND($B250*U$199,2)</f>
        <v>0</v>
      </c>
      <c r="V250" s="41">
        <f>ROUND($B250*V$194,2)</f>
        <v>0</v>
      </c>
      <c r="W250" s="42">
        <f>ROUND($B250*W$199,2)</f>
        <v>0</v>
      </c>
      <c r="X250" s="42">
        <f>ROUND($B250*X$199,2)</f>
        <v>0</v>
      </c>
      <c r="Y250" s="42">
        <f>ROUND($B250*Y$199,2)</f>
        <v>0</v>
      </c>
      <c r="Z250" s="42">
        <f>ROUND($B250*Z$199,2)</f>
        <v>0</v>
      </c>
      <c r="AA250" s="42">
        <f>ROUND($B250*AA$199,2)</f>
        <v>0</v>
      </c>
      <c r="AB250" s="19">
        <f>SUM(U$199:AA$199)+(-V$199+V215)</f>
        <v>3.4420000000000006E-3</v>
      </c>
      <c r="AC250" s="94" t="str">
        <f>+F250</f>
        <v>SH0</v>
      </c>
    </row>
    <row r="251" spans="1:29" x14ac:dyDescent="0.2">
      <c r="A251" s="96"/>
      <c r="B251" s="97">
        <v>-1</v>
      </c>
      <c r="C251" s="9"/>
      <c r="F251" s="36"/>
      <c r="G251" s="98"/>
      <c r="H251" s="19"/>
      <c r="I251" s="19"/>
      <c r="J251" s="104"/>
      <c r="K251" s="104"/>
      <c r="L251" s="104"/>
      <c r="M251" s="87"/>
      <c r="N251" s="87"/>
      <c r="O251" s="87"/>
      <c r="P251" s="87"/>
      <c r="Q251" s="87"/>
      <c r="R251" s="87"/>
      <c r="S251" s="50">
        <v>0</v>
      </c>
      <c r="T251" s="98"/>
      <c r="U251" s="98"/>
      <c r="V251" s="87"/>
      <c r="W251" s="98"/>
      <c r="X251" s="98"/>
      <c r="Y251" s="98"/>
      <c r="Z251" s="98"/>
      <c r="AA251" s="98"/>
      <c r="AB251" s="19"/>
      <c r="AC251" s="105"/>
    </row>
    <row r="252" spans="1:29" x14ac:dyDescent="0.2">
      <c r="A252" s="96"/>
      <c r="B252" s="103">
        <f>IF(AND('AES Indiana Bill Calc.'!$D$17="SH",'AES Indiana Bill Calc.'!$D$18="No",'AES Indiana Bill Calc.'!$D$20="Yes 2020"),'AES Indiana Bill Calc.'!$D$19,-1)</f>
        <v>-1</v>
      </c>
      <c r="C252" s="1" t="s">
        <v>147</v>
      </c>
      <c r="F252" s="36" t="s">
        <v>178</v>
      </c>
      <c r="G252" s="17">
        <f>SUM(J252:M252,O252:P252,R252:AA252)</f>
        <v>54.88</v>
      </c>
      <c r="H252" s="19" t="e">
        <f>IF(ISBLANK(B252),0,+#REF!/B252)</f>
        <v>#REF!</v>
      </c>
      <c r="I252" s="19"/>
      <c r="J252" s="82">
        <f>IF(ISBLANK(B252),0,+J$199)</f>
        <v>55</v>
      </c>
      <c r="K252" s="82">
        <f>ROUND($B252*K$199,2)</f>
        <v>-0.12</v>
      </c>
      <c r="L252" s="82"/>
      <c r="M252" s="41"/>
      <c r="N252" s="17">
        <f>SUM(K252:L252)</f>
        <v>-0.12</v>
      </c>
      <c r="O252" s="41"/>
      <c r="P252" s="41"/>
      <c r="Q252" s="41"/>
      <c r="R252" s="41"/>
      <c r="S252" s="42">
        <f>ROUND($B252*S$199*S251,2)</f>
        <v>0</v>
      </c>
      <c r="T252" s="42">
        <f>ROUND($B252*T$199,2)</f>
        <v>0</v>
      </c>
      <c r="U252" s="42">
        <f>ROUND($B252*U$199,2)</f>
        <v>0</v>
      </c>
      <c r="V252" s="41">
        <f>ROUND($B252*V$194,2)</f>
        <v>0</v>
      </c>
      <c r="W252" s="42">
        <f>ROUND($B252*W$199,2)</f>
        <v>0</v>
      </c>
      <c r="X252" s="42">
        <f>ROUND($B252*X$199,2)</f>
        <v>0</v>
      </c>
      <c r="Y252" s="42">
        <f>ROUND($B252*Y$199,2)</f>
        <v>0</v>
      </c>
      <c r="Z252" s="42">
        <f>ROUND($B252*Z$199,2)</f>
        <v>0</v>
      </c>
      <c r="AA252" s="42">
        <f>ROUND($B252*AA$199,2)</f>
        <v>0</v>
      </c>
      <c r="AB252" s="19">
        <f>SUM(U$199:AA$199)+(-V$199+V217)</f>
        <v>3.4420000000000006E-3</v>
      </c>
      <c r="AC252" s="94" t="str">
        <f>+F252</f>
        <v>SH0</v>
      </c>
    </row>
    <row r="253" spans="1:29" x14ac:dyDescent="0.2">
      <c r="A253" s="96"/>
      <c r="B253" s="97">
        <v>-1</v>
      </c>
      <c r="C253" s="97"/>
      <c r="F253" s="36"/>
      <c r="G253" s="98"/>
      <c r="H253" s="19"/>
      <c r="I253" s="19"/>
      <c r="J253" s="104"/>
      <c r="K253" s="104"/>
      <c r="L253" s="104"/>
      <c r="M253" s="87"/>
      <c r="N253" s="87"/>
      <c r="O253" s="87"/>
      <c r="P253" s="87"/>
      <c r="Q253" s="87"/>
      <c r="R253" s="87"/>
      <c r="S253" s="50">
        <v>1</v>
      </c>
      <c r="T253" s="98"/>
      <c r="U253" s="98"/>
      <c r="V253" s="87"/>
      <c r="W253" s="98"/>
      <c r="X253" s="98"/>
      <c r="Y253" s="98"/>
      <c r="Z253" s="98"/>
      <c r="AA253" s="98"/>
      <c r="AB253" s="19"/>
      <c r="AC253" s="105"/>
    </row>
    <row r="254" spans="1:29" x14ac:dyDescent="0.2">
      <c r="A254" s="96"/>
      <c r="B254" s="103">
        <f>IF(AND('AES Indiana Bill Calc.'!$D$17="SH",'AES Indiana Bill Calc.'!$D$18="Yes 100%",'AES Indiana Bill Calc.'!$D$20="Yes 2021"),'AES Indiana Bill Calc.'!$D$19,-1)</f>
        <v>-1</v>
      </c>
      <c r="C254" s="1" t="s">
        <v>148</v>
      </c>
      <c r="F254" s="36" t="s">
        <v>179</v>
      </c>
      <c r="G254" s="17">
        <f>SUM(J254:M254,O254:P254,R254:AA254)</f>
        <v>54.88</v>
      </c>
      <c r="H254" s="19" t="e">
        <f>IF(ISBLANK(B254),0,+#REF!/B254)</f>
        <v>#REF!</v>
      </c>
      <c r="I254" s="19"/>
      <c r="J254" s="82">
        <f>IF(ISBLANK(B254),0,+J$199)</f>
        <v>55</v>
      </c>
      <c r="K254" s="82">
        <f>ROUND($B254*K$199,2)</f>
        <v>-0.12</v>
      </c>
      <c r="L254" s="82"/>
      <c r="M254" s="41"/>
      <c r="N254" s="17">
        <f>SUM(K254:L254)</f>
        <v>-0.12</v>
      </c>
      <c r="O254" s="41"/>
      <c r="P254" s="41"/>
      <c r="Q254" s="41"/>
      <c r="R254" s="41"/>
      <c r="S254" s="42">
        <f>ROUND($B254*S$199*S253,2)</f>
        <v>0</v>
      </c>
      <c r="T254" s="42">
        <f>ROUND($B254*T$199,2)</f>
        <v>0</v>
      </c>
      <c r="U254" s="42">
        <f>ROUND($B254*U$199,2)</f>
        <v>0</v>
      </c>
      <c r="V254" s="41">
        <f>ROUND($B254*V$195,2)</f>
        <v>0</v>
      </c>
      <c r="W254" s="42">
        <f>ROUND($B254*W$199,2)</f>
        <v>0</v>
      </c>
      <c r="X254" s="42">
        <f>ROUND($B254*X$199,2)</f>
        <v>0</v>
      </c>
      <c r="Y254" s="42">
        <f>ROUND($B254*Y$199,2)</f>
        <v>0</v>
      </c>
      <c r="Z254" s="42">
        <f>ROUND($B254*Z$199,2)</f>
        <v>0</v>
      </c>
      <c r="AA254" s="42">
        <f>ROUND($B254*AA$199,2)</f>
        <v>0</v>
      </c>
      <c r="AB254" s="19">
        <f>SUM(U$199:AA$199)+(-V$199+V219)</f>
        <v>3.4420000000000006E-3</v>
      </c>
      <c r="AC254" s="94" t="str">
        <f>+F254</f>
        <v>SH1</v>
      </c>
    </row>
    <row r="255" spans="1:29" x14ac:dyDescent="0.2">
      <c r="A255" s="96"/>
      <c r="B255" s="97">
        <v>-1</v>
      </c>
      <c r="C255" s="9"/>
      <c r="F255" s="36"/>
      <c r="G255" s="98"/>
      <c r="H255" s="19"/>
      <c r="I255" s="19"/>
      <c r="J255" s="104"/>
      <c r="K255" s="104"/>
      <c r="L255" s="104"/>
      <c r="M255" s="87"/>
      <c r="N255" s="87"/>
      <c r="O255" s="87"/>
      <c r="P255" s="87"/>
      <c r="Q255" s="87"/>
      <c r="R255" s="87"/>
      <c r="S255" s="50">
        <v>0.5</v>
      </c>
      <c r="T255" s="98"/>
      <c r="U255" s="98"/>
      <c r="V255" s="87"/>
      <c r="W255" s="98"/>
      <c r="X255" s="98"/>
      <c r="Y255" s="98"/>
      <c r="Z255" s="98"/>
      <c r="AA255" s="98"/>
      <c r="AB255" s="19"/>
      <c r="AC255" s="105"/>
    </row>
    <row r="256" spans="1:29" x14ac:dyDescent="0.2">
      <c r="A256" s="96"/>
      <c r="B256" s="103">
        <f>IF(AND('AES Indiana Bill Calc.'!$D$17="SH",'AES Indiana Bill Calc.'!$D$18="Yes 50%",'AES Indiana Bill Calc.'!$D$20="Yes 2021"),'AES Indiana Bill Calc.'!$D$19,-1)</f>
        <v>-1</v>
      </c>
      <c r="C256" s="1" t="s">
        <v>149</v>
      </c>
      <c r="F256" s="36" t="s">
        <v>179</v>
      </c>
      <c r="G256" s="17">
        <f>SUM(J256:M256,O256:P256,R256:AA256)</f>
        <v>54.88</v>
      </c>
      <c r="H256" s="19" t="e">
        <f>IF(ISBLANK(B256),0,+#REF!/B256)</f>
        <v>#REF!</v>
      </c>
      <c r="I256" s="19"/>
      <c r="J256" s="82">
        <f>IF(ISBLANK(B256),0,+J$199)</f>
        <v>55</v>
      </c>
      <c r="K256" s="82">
        <f>ROUND($B256*K$199,2)</f>
        <v>-0.12</v>
      </c>
      <c r="L256" s="82"/>
      <c r="M256" s="41"/>
      <c r="N256" s="17">
        <f>SUM(K256:L256)</f>
        <v>-0.12</v>
      </c>
      <c r="O256" s="41"/>
      <c r="P256" s="41"/>
      <c r="Q256" s="41"/>
      <c r="R256" s="41"/>
      <c r="S256" s="42">
        <f>ROUND($B256*S$199*S255,2)</f>
        <v>0</v>
      </c>
      <c r="T256" s="42">
        <f>ROUND($B256*T$199,2)</f>
        <v>0</v>
      </c>
      <c r="U256" s="42">
        <f>ROUND($B256*U$199,2)</f>
        <v>0</v>
      </c>
      <c r="V256" s="41">
        <f>ROUND($B256*V$195,2)</f>
        <v>0</v>
      </c>
      <c r="W256" s="42">
        <f>ROUND($B256*W$199,2)</f>
        <v>0</v>
      </c>
      <c r="X256" s="42">
        <f>ROUND($B256*X$199,2)</f>
        <v>0</v>
      </c>
      <c r="Y256" s="42">
        <f>ROUND($B256*Y$199,2)</f>
        <v>0</v>
      </c>
      <c r="Z256" s="42">
        <f>ROUND($B256*Z$199,2)</f>
        <v>0</v>
      </c>
      <c r="AA256" s="42">
        <f>ROUND($B256*AA$199,2)</f>
        <v>0</v>
      </c>
      <c r="AB256" s="19">
        <f>SUM(U$199:AA$199)+(-V$199+V221)</f>
        <v>3.4420000000000006E-3</v>
      </c>
      <c r="AC256" s="94" t="str">
        <f>+F256</f>
        <v>SH1</v>
      </c>
    </row>
    <row r="257" spans="1:29" x14ac:dyDescent="0.2">
      <c r="A257" s="96"/>
      <c r="B257" s="97">
        <v>-1</v>
      </c>
      <c r="C257" s="9"/>
      <c r="F257" s="36"/>
      <c r="G257" s="98"/>
      <c r="H257" s="19"/>
      <c r="I257" s="19"/>
      <c r="J257" s="104"/>
      <c r="K257" s="104"/>
      <c r="L257" s="104"/>
      <c r="M257" s="87"/>
      <c r="N257" s="87"/>
      <c r="O257" s="87"/>
      <c r="P257" s="87"/>
      <c r="Q257" s="87"/>
      <c r="R257" s="87"/>
      <c r="S257" s="50">
        <v>0.25</v>
      </c>
      <c r="T257" s="98"/>
      <c r="U257" s="98"/>
      <c r="V257" s="87"/>
      <c r="W257" s="98"/>
      <c r="X257" s="98"/>
      <c r="Y257" s="98"/>
      <c r="Z257" s="98"/>
      <c r="AA257" s="98"/>
      <c r="AB257" s="19"/>
      <c r="AC257" s="105"/>
    </row>
    <row r="258" spans="1:29" x14ac:dyDescent="0.2">
      <c r="A258" s="96"/>
      <c r="B258" s="103">
        <f>IF(AND('AES Indiana Bill Calc.'!$D$17="SH",'AES Indiana Bill Calc.'!$D$18="Yes 25%",'AES Indiana Bill Calc.'!$D$20="Yes 2021"),'AES Indiana Bill Calc.'!$D$19,-1)</f>
        <v>-1</v>
      </c>
      <c r="C258" s="1" t="s">
        <v>150</v>
      </c>
      <c r="F258" s="36" t="s">
        <v>179</v>
      </c>
      <c r="G258" s="17">
        <f>SUM(J258:M258,O258:P258,R258:AA258)</f>
        <v>54.88</v>
      </c>
      <c r="H258" s="19" t="e">
        <f>IF(ISBLANK(B258),0,+#REF!/B258)</f>
        <v>#REF!</v>
      </c>
      <c r="I258" s="19"/>
      <c r="J258" s="82">
        <f>IF(ISBLANK(B258),0,+J$199)</f>
        <v>55</v>
      </c>
      <c r="K258" s="82">
        <f>ROUND($B258*K$199,2)</f>
        <v>-0.12</v>
      </c>
      <c r="L258" s="82"/>
      <c r="M258" s="41"/>
      <c r="N258" s="17">
        <f>SUM(K258:L258)</f>
        <v>-0.12</v>
      </c>
      <c r="O258" s="41"/>
      <c r="P258" s="41"/>
      <c r="Q258" s="41"/>
      <c r="R258" s="41"/>
      <c r="S258" s="42">
        <f>ROUND($B258*S$199*S257,2)</f>
        <v>0</v>
      </c>
      <c r="T258" s="42">
        <f>ROUND($B258*T$199,2)</f>
        <v>0</v>
      </c>
      <c r="U258" s="42">
        <f>ROUND($B258*U$199,2)</f>
        <v>0</v>
      </c>
      <c r="V258" s="41">
        <f>ROUND($B258*V$195,2)</f>
        <v>0</v>
      </c>
      <c r="W258" s="42">
        <f>ROUND($B258*W$199,2)</f>
        <v>0</v>
      </c>
      <c r="X258" s="42">
        <f>ROUND($B258*X$199,2)</f>
        <v>0</v>
      </c>
      <c r="Y258" s="42">
        <f>ROUND($B258*Y$199,2)</f>
        <v>0</v>
      </c>
      <c r="Z258" s="42">
        <f>ROUND($B258*Z$199,2)</f>
        <v>0</v>
      </c>
      <c r="AA258" s="42">
        <f>ROUND($B258*AA$199,2)</f>
        <v>0</v>
      </c>
      <c r="AB258" s="19">
        <f>SUM(U$199:AA$199)+(-V$199+V223)</f>
        <v>3.4420000000000006E-3</v>
      </c>
      <c r="AC258" s="94" t="str">
        <f>+F258</f>
        <v>SH1</v>
      </c>
    </row>
    <row r="259" spans="1:29" x14ac:dyDescent="0.2">
      <c r="A259" s="96"/>
      <c r="B259" s="97">
        <v>-1</v>
      </c>
      <c r="C259" s="9"/>
      <c r="F259" s="36"/>
      <c r="G259" s="98"/>
      <c r="H259" s="19"/>
      <c r="I259" s="19"/>
      <c r="J259" s="104"/>
      <c r="K259" s="104"/>
      <c r="L259" s="104"/>
      <c r="M259" s="87"/>
      <c r="N259" s="87"/>
      <c r="O259" s="87"/>
      <c r="P259" s="87"/>
      <c r="Q259" s="87"/>
      <c r="R259" s="87"/>
      <c r="S259" s="50">
        <v>0.1</v>
      </c>
      <c r="T259" s="98"/>
      <c r="U259" s="98"/>
      <c r="V259" s="87"/>
      <c r="W259" s="98"/>
      <c r="X259" s="98"/>
      <c r="Y259" s="98"/>
      <c r="Z259" s="98"/>
      <c r="AA259" s="98"/>
      <c r="AB259" s="19"/>
      <c r="AC259" s="105"/>
    </row>
    <row r="260" spans="1:29" x14ac:dyDescent="0.2">
      <c r="A260" s="96"/>
      <c r="B260" s="103">
        <f>IF(AND('AES Indiana Bill Calc.'!$D$17="SH",'AES Indiana Bill Calc.'!$D$18="Yes 10%",'AES Indiana Bill Calc.'!$D$20="Yes 2021"),'AES Indiana Bill Calc.'!$D$19,-1)</f>
        <v>-1</v>
      </c>
      <c r="C260" s="1" t="s">
        <v>164</v>
      </c>
      <c r="F260" s="36" t="s">
        <v>179</v>
      </c>
      <c r="G260" s="17">
        <f>SUM(J260:M260,O260:P260,R260:AA260)</f>
        <v>54.88</v>
      </c>
      <c r="H260" s="19" t="e">
        <f>IF(ISBLANK(B260),0,+#REF!/B260)</f>
        <v>#REF!</v>
      </c>
      <c r="I260" s="19"/>
      <c r="J260" s="82">
        <f>IF(ISBLANK(B260),0,+J$199)</f>
        <v>55</v>
      </c>
      <c r="K260" s="82">
        <f>ROUND($B260*K$199,2)</f>
        <v>-0.12</v>
      </c>
      <c r="L260" s="82"/>
      <c r="M260" s="41"/>
      <c r="N260" s="17">
        <f>SUM(K260:L260)</f>
        <v>-0.12</v>
      </c>
      <c r="O260" s="41"/>
      <c r="P260" s="41"/>
      <c r="Q260" s="41"/>
      <c r="R260" s="41"/>
      <c r="S260" s="42">
        <f>ROUND($B260*S$199*S259,2)</f>
        <v>0</v>
      </c>
      <c r="T260" s="42">
        <f>ROUND($B260*T$199,2)</f>
        <v>0</v>
      </c>
      <c r="U260" s="42">
        <f>ROUND($B260*U$199,2)</f>
        <v>0</v>
      </c>
      <c r="V260" s="41">
        <f>ROUND($B260*V$195,2)</f>
        <v>0</v>
      </c>
      <c r="W260" s="42">
        <f>ROUND($B260*W$199,2)</f>
        <v>0</v>
      </c>
      <c r="X260" s="42">
        <f>ROUND($B260*X$199,2)</f>
        <v>0</v>
      </c>
      <c r="Y260" s="42">
        <f>ROUND($B260*Y$199,2)</f>
        <v>0</v>
      </c>
      <c r="Z260" s="42">
        <f>ROUND($B260*Z$199,2)</f>
        <v>0</v>
      </c>
      <c r="AA260" s="42">
        <f>ROUND($B260*AA$199,2)</f>
        <v>0</v>
      </c>
      <c r="AB260" s="19">
        <f>SUM(U$199:AA$199)+(-V$199+V225)</f>
        <v>3.4420000000000006E-3</v>
      </c>
      <c r="AC260" s="94" t="str">
        <f>+F260</f>
        <v>SH1</v>
      </c>
    </row>
    <row r="261" spans="1:29" x14ac:dyDescent="0.2">
      <c r="A261" s="96"/>
      <c r="B261" s="97">
        <v>-1</v>
      </c>
      <c r="C261" s="9"/>
      <c r="F261" s="36"/>
      <c r="G261" s="98"/>
      <c r="H261" s="19"/>
      <c r="I261" s="19"/>
      <c r="J261" s="104"/>
      <c r="K261" s="104"/>
      <c r="L261" s="104"/>
      <c r="M261" s="87"/>
      <c r="N261" s="87"/>
      <c r="O261" s="87"/>
      <c r="P261" s="87"/>
      <c r="Q261" s="87"/>
      <c r="R261" s="87"/>
      <c r="S261" s="50">
        <v>0</v>
      </c>
      <c r="T261" s="98"/>
      <c r="U261" s="98"/>
      <c r="V261" s="87"/>
      <c r="W261" s="98"/>
      <c r="X261" s="98"/>
      <c r="Y261" s="98"/>
      <c r="Z261" s="98"/>
      <c r="AA261" s="98"/>
      <c r="AB261" s="19"/>
      <c r="AC261" s="105"/>
    </row>
    <row r="262" spans="1:29" x14ac:dyDescent="0.2">
      <c r="A262" s="96"/>
      <c r="B262" s="103">
        <f>IF(AND('AES Indiana Bill Calc.'!$D$17="SH",'AES Indiana Bill Calc.'!$D$18="No",'AES Indiana Bill Calc.'!$D$20="Yes 2021"),'AES Indiana Bill Calc.'!$D$19,-1)</f>
        <v>-1</v>
      </c>
      <c r="C262" s="1" t="s">
        <v>147</v>
      </c>
      <c r="F262" s="36" t="s">
        <v>179</v>
      </c>
      <c r="G262" s="17">
        <f>SUM(J262:M262,O262:P262,R262:AA262)</f>
        <v>54.88</v>
      </c>
      <c r="H262" s="19" t="e">
        <f>IF(ISBLANK(B262),0,+#REF!/B262)</f>
        <v>#REF!</v>
      </c>
      <c r="I262" s="19"/>
      <c r="J262" s="82">
        <f>IF(ISBLANK(B262),0,+J$199)</f>
        <v>55</v>
      </c>
      <c r="K262" s="82">
        <f>ROUND($B262*K$199,2)</f>
        <v>-0.12</v>
      </c>
      <c r="L262" s="82"/>
      <c r="M262" s="41"/>
      <c r="N262" s="17">
        <f>SUM(K262:L262)</f>
        <v>-0.12</v>
      </c>
      <c r="O262" s="41"/>
      <c r="P262" s="41"/>
      <c r="Q262" s="41"/>
      <c r="R262" s="41"/>
      <c r="S262" s="42">
        <f>ROUND($B262*S$199*S261,2)</f>
        <v>0</v>
      </c>
      <c r="T262" s="42">
        <f>ROUND($B262*T$199,2)</f>
        <v>0</v>
      </c>
      <c r="U262" s="42">
        <f>ROUND($B262*U$199,2)</f>
        <v>0</v>
      </c>
      <c r="V262" s="41">
        <f>ROUND($B262*V$195,2)</f>
        <v>0</v>
      </c>
      <c r="W262" s="42">
        <f>ROUND($B262*W$199,2)</f>
        <v>0</v>
      </c>
      <c r="X262" s="42">
        <f>ROUND($B262*X$199,2)</f>
        <v>0</v>
      </c>
      <c r="Y262" s="42">
        <f>ROUND($B262*Y$199,2)</f>
        <v>0</v>
      </c>
      <c r="Z262" s="42">
        <f>ROUND($B262*Z$199,2)</f>
        <v>0</v>
      </c>
      <c r="AA262" s="42">
        <f>ROUND($B262*AA$199,2)</f>
        <v>0</v>
      </c>
      <c r="AB262" s="19">
        <f>SUM(U$199:AA$199)+(-V$199+V227)</f>
        <v>3.4420000000000006E-3</v>
      </c>
      <c r="AC262" s="94" t="str">
        <f>+F262</f>
        <v>SH1</v>
      </c>
    </row>
    <row r="263" spans="1:29" x14ac:dyDescent="0.2">
      <c r="A263" s="96"/>
      <c r="B263" s="97">
        <v>-1</v>
      </c>
      <c r="C263" s="97"/>
      <c r="F263" s="36"/>
      <c r="G263" s="98"/>
      <c r="H263" s="19"/>
      <c r="I263" s="19"/>
      <c r="J263" s="104"/>
      <c r="K263" s="104"/>
      <c r="L263" s="104"/>
      <c r="M263" s="87"/>
      <c r="N263" s="87"/>
      <c r="O263" s="87"/>
      <c r="P263" s="87"/>
      <c r="Q263" s="87"/>
      <c r="R263" s="87"/>
      <c r="S263" s="50">
        <v>1</v>
      </c>
      <c r="T263" s="98"/>
      <c r="U263" s="98"/>
      <c r="V263" s="87"/>
      <c r="W263" s="98"/>
      <c r="X263" s="98"/>
      <c r="Y263" s="98"/>
      <c r="Z263" s="98"/>
      <c r="AA263" s="98"/>
      <c r="AB263" s="19"/>
      <c r="AC263" s="105"/>
    </row>
    <row r="264" spans="1:29" x14ac:dyDescent="0.2">
      <c r="A264" s="96"/>
      <c r="B264" s="103">
        <f>IF(AND('AES Indiana Bill Calc.'!$D$17="SH",'AES Indiana Bill Calc.'!$D$18="Yes 100%",'AES Indiana Bill Calc.'!$D$20="Yes 2022"),'AES Indiana Bill Calc.'!$D$19,-1)</f>
        <v>-1</v>
      </c>
      <c r="C264" s="1" t="s">
        <v>148</v>
      </c>
      <c r="F264" s="36" t="s">
        <v>180</v>
      </c>
      <c r="G264" s="17">
        <f>SUM(J264:M264,O264:P264,R264:AA264)</f>
        <v>54.88</v>
      </c>
      <c r="H264" s="19" t="e">
        <f>IF(ISBLANK(B264),0,+#REF!/B264)</f>
        <v>#REF!</v>
      </c>
      <c r="I264" s="19"/>
      <c r="J264" s="82">
        <f>IF(ISBLANK(B264),0,+J$199)</f>
        <v>55</v>
      </c>
      <c r="K264" s="82">
        <f>ROUND($B264*K$199,2)</f>
        <v>-0.12</v>
      </c>
      <c r="L264" s="82"/>
      <c r="M264" s="41"/>
      <c r="N264" s="17">
        <f>SUM(K264:L264)</f>
        <v>-0.12</v>
      </c>
      <c r="O264" s="41"/>
      <c r="P264" s="41"/>
      <c r="Q264" s="41"/>
      <c r="R264" s="41"/>
      <c r="S264" s="42">
        <f>ROUND($B264*S$199*S263,2)</f>
        <v>0</v>
      </c>
      <c r="T264" s="42">
        <f>ROUND($B264*T$199,2)</f>
        <v>0</v>
      </c>
      <c r="U264" s="42">
        <f>ROUND($B264*U$199,2)</f>
        <v>0</v>
      </c>
      <c r="V264" s="41">
        <f>ROUND($B264*V$196,2)</f>
        <v>0</v>
      </c>
      <c r="W264" s="42">
        <f>ROUND($B264*W$199,2)</f>
        <v>0</v>
      </c>
      <c r="X264" s="42">
        <f>ROUND($B264*X$199,2)</f>
        <v>0</v>
      </c>
      <c r="Y264" s="42">
        <f>ROUND($B264*Y$199,2)</f>
        <v>0</v>
      </c>
      <c r="Z264" s="42">
        <f>ROUND($B264*Z$199,2)</f>
        <v>0</v>
      </c>
      <c r="AA264" s="42">
        <f>ROUND($B264*AA$199,2)</f>
        <v>0</v>
      </c>
      <c r="AB264" s="19">
        <f>SUM(U$199:AA$199)+(-V$199+V229)</f>
        <v>3.4420000000000006E-3</v>
      </c>
      <c r="AC264" s="94" t="str">
        <f>+F264</f>
        <v>SH2</v>
      </c>
    </row>
    <row r="265" spans="1:29" x14ac:dyDescent="0.2">
      <c r="A265" s="96"/>
      <c r="B265" s="97">
        <v>-1</v>
      </c>
      <c r="C265" s="9"/>
      <c r="F265" s="36"/>
      <c r="G265" s="98"/>
      <c r="H265" s="19"/>
      <c r="I265" s="19"/>
      <c r="J265" s="104"/>
      <c r="K265" s="104"/>
      <c r="L265" s="104"/>
      <c r="M265" s="87"/>
      <c r="N265" s="87"/>
      <c r="O265" s="87"/>
      <c r="P265" s="87"/>
      <c r="Q265" s="87"/>
      <c r="R265" s="87"/>
      <c r="S265" s="50">
        <v>0.5</v>
      </c>
      <c r="T265" s="98"/>
      <c r="U265" s="98"/>
      <c r="V265" s="87"/>
      <c r="W265" s="98"/>
      <c r="X265" s="98"/>
      <c r="Y265" s="98"/>
      <c r="Z265" s="98"/>
      <c r="AA265" s="98"/>
      <c r="AB265" s="19"/>
      <c r="AC265" s="105"/>
    </row>
    <row r="266" spans="1:29" x14ac:dyDescent="0.2">
      <c r="A266" s="96"/>
      <c r="B266" s="103">
        <f>IF(AND('AES Indiana Bill Calc.'!$D$17="SH",'AES Indiana Bill Calc.'!$D$18="Yes 50%",'AES Indiana Bill Calc.'!$D$20="Yes 2022"),'AES Indiana Bill Calc.'!$D$19,-1)</f>
        <v>-1</v>
      </c>
      <c r="C266" s="1" t="s">
        <v>149</v>
      </c>
      <c r="F266" s="36" t="s">
        <v>180</v>
      </c>
      <c r="G266" s="17">
        <f>SUM(J266:M266,O266:P266,R266:AA266)</f>
        <v>54.88</v>
      </c>
      <c r="H266" s="19" t="e">
        <f>IF(ISBLANK(B266),0,+#REF!/B266)</f>
        <v>#REF!</v>
      </c>
      <c r="I266" s="19"/>
      <c r="J266" s="82">
        <f>IF(ISBLANK(B266),0,+J$199)</f>
        <v>55</v>
      </c>
      <c r="K266" s="82">
        <f>ROUND($B266*K$199,2)</f>
        <v>-0.12</v>
      </c>
      <c r="L266" s="82"/>
      <c r="M266" s="41"/>
      <c r="N266" s="17">
        <f>SUM(K266:L266)</f>
        <v>-0.12</v>
      </c>
      <c r="O266" s="41"/>
      <c r="P266" s="41"/>
      <c r="Q266" s="41"/>
      <c r="R266" s="41"/>
      <c r="S266" s="42">
        <f>ROUND($B266*S$199*S265,2)</f>
        <v>0</v>
      </c>
      <c r="T266" s="42">
        <f>ROUND($B266*T$199,2)</f>
        <v>0</v>
      </c>
      <c r="U266" s="42">
        <f>ROUND($B266*U$199,2)</f>
        <v>0</v>
      </c>
      <c r="V266" s="41">
        <f>ROUND($B266*V$196,2)</f>
        <v>0</v>
      </c>
      <c r="W266" s="42">
        <f>ROUND($B266*W$199,2)</f>
        <v>0</v>
      </c>
      <c r="X266" s="42">
        <f>ROUND($B266*X$199,2)</f>
        <v>0</v>
      </c>
      <c r="Y266" s="42">
        <f>ROUND($B266*Y$199,2)</f>
        <v>0</v>
      </c>
      <c r="Z266" s="42">
        <f>ROUND($B266*Z$199,2)</f>
        <v>0</v>
      </c>
      <c r="AA266" s="42">
        <f>ROUND($B266*AA$199,2)</f>
        <v>0</v>
      </c>
      <c r="AB266" s="19">
        <f>SUM(U$199:AA$199)+(-V$199+V231)</f>
        <v>3.4420000000000006E-3</v>
      </c>
      <c r="AC266" s="94" t="str">
        <f>+F266</f>
        <v>SH2</v>
      </c>
    </row>
    <row r="267" spans="1:29" x14ac:dyDescent="0.2">
      <c r="A267" s="96"/>
      <c r="B267" s="97">
        <v>-1</v>
      </c>
      <c r="C267" s="9"/>
      <c r="F267" s="36"/>
      <c r="G267" s="98"/>
      <c r="H267" s="19"/>
      <c r="I267" s="19"/>
      <c r="J267" s="104"/>
      <c r="K267" s="104"/>
      <c r="L267" s="104"/>
      <c r="M267" s="87"/>
      <c r="N267" s="87"/>
      <c r="O267" s="87"/>
      <c r="P267" s="87"/>
      <c r="Q267" s="87"/>
      <c r="R267" s="87"/>
      <c r="S267" s="50">
        <v>0.25</v>
      </c>
      <c r="T267" s="98"/>
      <c r="U267" s="98"/>
      <c r="V267" s="87"/>
      <c r="W267" s="98"/>
      <c r="X267" s="98"/>
      <c r="Y267" s="98"/>
      <c r="Z267" s="98"/>
      <c r="AA267" s="98"/>
      <c r="AB267" s="19"/>
      <c r="AC267" s="105"/>
    </row>
    <row r="268" spans="1:29" x14ac:dyDescent="0.2">
      <c r="A268" s="96"/>
      <c r="B268" s="103">
        <f>IF(AND('AES Indiana Bill Calc.'!$D$17="SH",'AES Indiana Bill Calc.'!$D$18="Yes 25%",'AES Indiana Bill Calc.'!$D$20="Yes 2022"),'AES Indiana Bill Calc.'!$D$19,-1)</f>
        <v>-1</v>
      </c>
      <c r="C268" s="1" t="s">
        <v>150</v>
      </c>
      <c r="F268" s="36" t="s">
        <v>180</v>
      </c>
      <c r="G268" s="17">
        <f>SUM(J268:M268,O268:P268,R268:AA268)</f>
        <v>54.88</v>
      </c>
      <c r="H268" s="19" t="e">
        <f>IF(ISBLANK(B268),0,+#REF!/B268)</f>
        <v>#REF!</v>
      </c>
      <c r="I268" s="19"/>
      <c r="J268" s="82">
        <f>IF(ISBLANK(B268),0,+J$199)</f>
        <v>55</v>
      </c>
      <c r="K268" s="82">
        <f>ROUND($B268*K$199,2)</f>
        <v>-0.12</v>
      </c>
      <c r="L268" s="82"/>
      <c r="M268" s="41"/>
      <c r="N268" s="17">
        <f>SUM(K268:L268)</f>
        <v>-0.12</v>
      </c>
      <c r="O268" s="41"/>
      <c r="P268" s="41"/>
      <c r="Q268" s="41"/>
      <c r="R268" s="41"/>
      <c r="S268" s="42">
        <f>ROUND($B268*S$199*S267,2)</f>
        <v>0</v>
      </c>
      <c r="T268" s="42">
        <f>ROUND($B268*T$199,2)</f>
        <v>0</v>
      </c>
      <c r="U268" s="42">
        <f>ROUND($B268*U$199,2)</f>
        <v>0</v>
      </c>
      <c r="V268" s="41">
        <f>ROUND($B268*V$196,2)</f>
        <v>0</v>
      </c>
      <c r="W268" s="42">
        <f>ROUND($B268*W$199,2)</f>
        <v>0</v>
      </c>
      <c r="X268" s="42">
        <f>ROUND($B268*X$199,2)</f>
        <v>0</v>
      </c>
      <c r="Y268" s="42">
        <f>ROUND($B268*Y$199,2)</f>
        <v>0</v>
      </c>
      <c r="Z268" s="42">
        <f>ROUND($B268*Z$199,2)</f>
        <v>0</v>
      </c>
      <c r="AA268" s="42">
        <f>ROUND($B268*AA$199,2)</f>
        <v>0</v>
      </c>
      <c r="AB268" s="19">
        <f>SUM(U$199:AA$199)+(-V$199+V233)</f>
        <v>3.4420000000000006E-3</v>
      </c>
      <c r="AC268" s="94" t="str">
        <f>+F268</f>
        <v>SH2</v>
      </c>
    </row>
    <row r="269" spans="1:29" x14ac:dyDescent="0.2">
      <c r="A269" s="96"/>
      <c r="B269" s="97">
        <v>-1</v>
      </c>
      <c r="C269" s="9"/>
      <c r="F269" s="36"/>
      <c r="G269" s="98"/>
      <c r="H269" s="19"/>
      <c r="I269" s="19"/>
      <c r="J269" s="104"/>
      <c r="K269" s="104"/>
      <c r="L269" s="104"/>
      <c r="M269" s="87"/>
      <c r="N269" s="87"/>
      <c r="O269" s="87"/>
      <c r="P269" s="87"/>
      <c r="Q269" s="87"/>
      <c r="R269" s="87"/>
      <c r="S269" s="50">
        <v>0.1</v>
      </c>
      <c r="T269" s="98"/>
      <c r="U269" s="98"/>
      <c r="V269" s="87"/>
      <c r="W269" s="98"/>
      <c r="X269" s="98"/>
      <c r="Y269" s="98"/>
      <c r="Z269" s="98"/>
      <c r="AA269" s="98"/>
      <c r="AB269" s="19"/>
      <c r="AC269" s="105"/>
    </row>
    <row r="270" spans="1:29" x14ac:dyDescent="0.2">
      <c r="A270" s="96"/>
      <c r="B270" s="103">
        <f>IF(AND('AES Indiana Bill Calc.'!$D$17="SH",'AES Indiana Bill Calc.'!$D$18="Yes 10%",'AES Indiana Bill Calc.'!$D$20="Yes 2022"),'AES Indiana Bill Calc.'!$D$19,-1)</f>
        <v>-1</v>
      </c>
      <c r="C270" s="1" t="s">
        <v>164</v>
      </c>
      <c r="F270" s="36" t="s">
        <v>180</v>
      </c>
      <c r="G270" s="17">
        <f>SUM(J270:M270,O270:P270,R270:AA270)</f>
        <v>54.88</v>
      </c>
      <c r="H270" s="19" t="e">
        <f>IF(ISBLANK(B270),0,+#REF!/B270)</f>
        <v>#REF!</v>
      </c>
      <c r="I270" s="19"/>
      <c r="J270" s="82">
        <f>IF(ISBLANK(B270),0,+J$199)</f>
        <v>55</v>
      </c>
      <c r="K270" s="82">
        <f>ROUND($B270*K$199,2)</f>
        <v>-0.12</v>
      </c>
      <c r="L270" s="82"/>
      <c r="M270" s="41"/>
      <c r="N270" s="17">
        <f>SUM(K270:L270)</f>
        <v>-0.12</v>
      </c>
      <c r="O270" s="41"/>
      <c r="P270" s="41"/>
      <c r="Q270" s="41"/>
      <c r="R270" s="41"/>
      <c r="S270" s="42">
        <f>ROUND($B270*S$199*S269,2)</f>
        <v>0</v>
      </c>
      <c r="T270" s="42">
        <f>ROUND($B270*T$199,2)</f>
        <v>0</v>
      </c>
      <c r="U270" s="42">
        <f>ROUND($B270*U$199,2)</f>
        <v>0</v>
      </c>
      <c r="V270" s="41">
        <f>ROUND($B270*V$196,2)</f>
        <v>0</v>
      </c>
      <c r="W270" s="42">
        <f>ROUND($B270*W$199,2)</f>
        <v>0</v>
      </c>
      <c r="X270" s="42">
        <f>ROUND($B270*X$199,2)</f>
        <v>0</v>
      </c>
      <c r="Y270" s="42">
        <f>ROUND($B270*Y$199,2)</f>
        <v>0</v>
      </c>
      <c r="Z270" s="42">
        <f>ROUND($B270*Z$199,2)</f>
        <v>0</v>
      </c>
      <c r="AA270" s="42">
        <f>ROUND($B270*AA$199,2)</f>
        <v>0</v>
      </c>
      <c r="AB270" s="19">
        <f>SUM(U$199:AA$199)+(-V$199+V235)</f>
        <v>3.4420000000000006E-3</v>
      </c>
      <c r="AC270" s="94" t="str">
        <f>+F270</f>
        <v>SH2</v>
      </c>
    </row>
    <row r="271" spans="1:29" x14ac:dyDescent="0.2">
      <c r="A271" s="96"/>
      <c r="B271" s="97">
        <v>-1</v>
      </c>
      <c r="C271" s="9"/>
      <c r="F271" s="36"/>
      <c r="G271" s="98"/>
      <c r="H271" s="19"/>
      <c r="I271" s="19"/>
      <c r="J271" s="104"/>
      <c r="K271" s="104"/>
      <c r="L271" s="104"/>
      <c r="M271" s="87"/>
      <c r="N271" s="87"/>
      <c r="O271" s="87"/>
      <c r="P271" s="87"/>
      <c r="Q271" s="87"/>
      <c r="R271" s="87"/>
      <c r="S271" s="50">
        <v>0</v>
      </c>
      <c r="T271" s="98"/>
      <c r="U271" s="98"/>
      <c r="V271" s="87"/>
      <c r="W271" s="98"/>
      <c r="X271" s="98"/>
      <c r="Y271" s="98"/>
      <c r="Z271" s="98"/>
      <c r="AA271" s="98"/>
      <c r="AB271" s="19"/>
      <c r="AC271" s="105"/>
    </row>
    <row r="272" spans="1:29" x14ac:dyDescent="0.2">
      <c r="A272" s="96"/>
      <c r="B272" s="103">
        <f>IF(AND('AES Indiana Bill Calc.'!$D$17="SH",'AES Indiana Bill Calc.'!$D$18="No",'AES Indiana Bill Calc.'!$D$20="Yes 2022"),'AES Indiana Bill Calc.'!$D$19,-1)</f>
        <v>-1</v>
      </c>
      <c r="C272" s="1" t="s">
        <v>147</v>
      </c>
      <c r="F272" s="36" t="s">
        <v>180</v>
      </c>
      <c r="G272" s="17">
        <f>SUM(J272:M272,O272:P272,R272:AA272)</f>
        <v>54.88</v>
      </c>
      <c r="H272" s="19" t="e">
        <f>IF(ISBLANK(B272),0,+#REF!/B272)</f>
        <v>#REF!</v>
      </c>
      <c r="I272" s="19"/>
      <c r="J272" s="82">
        <f>IF(ISBLANK(B272),0,+J$199)</f>
        <v>55</v>
      </c>
      <c r="K272" s="82">
        <f>ROUND($B272*K$199,2)</f>
        <v>-0.12</v>
      </c>
      <c r="L272" s="82"/>
      <c r="M272" s="41"/>
      <c r="N272" s="17">
        <f>SUM(K272:L272)</f>
        <v>-0.12</v>
      </c>
      <c r="O272" s="41"/>
      <c r="P272" s="41"/>
      <c r="Q272" s="41"/>
      <c r="R272" s="41"/>
      <c r="S272" s="42">
        <f>ROUND($B272*S$199*S271,2)</f>
        <v>0</v>
      </c>
      <c r="T272" s="42">
        <f>ROUND($B272*T$199,2)</f>
        <v>0</v>
      </c>
      <c r="U272" s="42">
        <f>ROUND($B272*U$199,2)</f>
        <v>0</v>
      </c>
      <c r="V272" s="41">
        <f>ROUND($B272*V$196,2)</f>
        <v>0</v>
      </c>
      <c r="W272" s="42">
        <f>ROUND($B272*W$199,2)</f>
        <v>0</v>
      </c>
      <c r="X272" s="42">
        <f>ROUND($B272*X$199,2)</f>
        <v>0</v>
      </c>
      <c r="Y272" s="42">
        <f>ROUND($B272*Y$199,2)</f>
        <v>0</v>
      </c>
      <c r="Z272" s="42">
        <f>ROUND($B272*Z$199,2)</f>
        <v>0</v>
      </c>
      <c r="AA272" s="42">
        <f>ROUND($B272*AA$199,2)</f>
        <v>0</v>
      </c>
      <c r="AB272" s="19">
        <f>SUM(U$199:AA$199)+(-V$199+V237)</f>
        <v>3.4420000000000006E-3</v>
      </c>
      <c r="AC272" s="94" t="str">
        <f>+F272</f>
        <v>SH2</v>
      </c>
    </row>
    <row r="273" spans="1:29" x14ac:dyDescent="0.2">
      <c r="A273" s="96"/>
      <c r="B273" s="103">
        <v>-1</v>
      </c>
      <c r="C273" s="1"/>
      <c r="F273" s="36"/>
      <c r="G273" s="17"/>
      <c r="H273" s="19"/>
      <c r="I273" s="19"/>
      <c r="J273" s="82"/>
      <c r="K273" s="82"/>
      <c r="L273" s="82"/>
      <c r="M273" s="41"/>
      <c r="N273" s="17"/>
      <c r="O273" s="41"/>
      <c r="P273" s="41"/>
      <c r="Q273" s="41"/>
      <c r="R273" s="41"/>
      <c r="S273" s="50">
        <v>1</v>
      </c>
      <c r="T273" s="42"/>
      <c r="U273" s="42"/>
      <c r="V273" s="41"/>
      <c r="W273" s="42"/>
      <c r="X273" s="42"/>
      <c r="Y273" s="42"/>
      <c r="Z273" s="42"/>
      <c r="AA273" s="42"/>
      <c r="AB273" s="19"/>
      <c r="AC273" s="94"/>
    </row>
    <row r="274" spans="1:29" x14ac:dyDescent="0.2">
      <c r="A274" s="96"/>
      <c r="B274" s="103">
        <f>IF(AND('AES Indiana Bill Calc.'!$D$17="SH",'AES Indiana Bill Calc.'!$D$18="Yes 100%",'AES Indiana Bill Calc.'!$D$20="Yes 2023"),'AES Indiana Bill Calc.'!$D$19,-1)</f>
        <v>-1</v>
      </c>
      <c r="C274" s="1" t="s">
        <v>148</v>
      </c>
      <c r="F274" s="36" t="s">
        <v>181</v>
      </c>
      <c r="G274" s="17">
        <f>SUM(J274:M274,O274:P274,R274:AA274)</f>
        <v>54.88</v>
      </c>
      <c r="H274" s="19" t="e">
        <f>IF(ISBLANK(B274),0,+#REF!/B274)</f>
        <v>#REF!</v>
      </c>
      <c r="I274" s="19"/>
      <c r="J274" s="82">
        <f>IF(ISBLANK(B274),0,+J$199)</f>
        <v>55</v>
      </c>
      <c r="K274" s="82">
        <f>ROUND($B274*K$199,2)</f>
        <v>-0.12</v>
      </c>
      <c r="L274" s="82"/>
      <c r="M274" s="41"/>
      <c r="N274" s="17">
        <f>SUM(K274:L274)</f>
        <v>-0.12</v>
      </c>
      <c r="O274" s="41"/>
      <c r="P274" s="41"/>
      <c r="Q274" s="41"/>
      <c r="R274" s="41"/>
      <c r="S274" s="42">
        <f>ROUND($B274*S$199*S273,2)</f>
        <v>0</v>
      </c>
      <c r="T274" s="42">
        <f>ROUND($B274*T$199,2)</f>
        <v>0</v>
      </c>
      <c r="U274" s="42">
        <f>ROUND($B274*U$199,2)</f>
        <v>0</v>
      </c>
      <c r="V274" s="41">
        <f>ROUND($B274*V$196,2)</f>
        <v>0</v>
      </c>
      <c r="W274" s="42">
        <f>ROUND($B274*W$199,2)</f>
        <v>0</v>
      </c>
      <c r="X274" s="42">
        <f>ROUND($B274*X$199,2)</f>
        <v>0</v>
      </c>
      <c r="Y274" s="42">
        <f>ROUND($B274*Y$199,2)</f>
        <v>0</v>
      </c>
      <c r="Z274" s="42">
        <f>ROUND($B274*Z$199,2)</f>
        <v>0</v>
      </c>
      <c r="AA274" s="42">
        <f>ROUND($B274*AA$199,2)</f>
        <v>0</v>
      </c>
      <c r="AB274" s="19">
        <f>SUM(U$199:AA$199)+(-V$199+V239)</f>
        <v>3.4420000000000006E-3</v>
      </c>
      <c r="AC274" s="94" t="str">
        <f>+F274</f>
        <v>SH3</v>
      </c>
    </row>
    <row r="275" spans="1:29" x14ac:dyDescent="0.2">
      <c r="A275" s="96"/>
      <c r="B275" s="97">
        <v>-1</v>
      </c>
      <c r="C275" s="9"/>
      <c r="F275" s="36"/>
      <c r="G275" s="98"/>
      <c r="H275" s="19"/>
      <c r="I275" s="19"/>
      <c r="J275" s="104"/>
      <c r="K275" s="104"/>
      <c r="L275" s="104"/>
      <c r="M275" s="87"/>
      <c r="N275" s="87"/>
      <c r="O275" s="87"/>
      <c r="P275" s="87"/>
      <c r="Q275" s="87"/>
      <c r="R275" s="87"/>
      <c r="S275" s="50">
        <v>0.5</v>
      </c>
      <c r="T275" s="98"/>
      <c r="U275" s="98"/>
      <c r="V275" s="87"/>
      <c r="W275" s="98"/>
      <c r="X275" s="98"/>
      <c r="Y275" s="98"/>
      <c r="Z275" s="98"/>
      <c r="AA275" s="98"/>
      <c r="AB275" s="19"/>
      <c r="AC275" s="105"/>
    </row>
    <row r="276" spans="1:29" x14ac:dyDescent="0.2">
      <c r="A276" s="96"/>
      <c r="B276" s="103">
        <f>IF(AND('AES Indiana Bill Calc.'!$D$17="SH",'AES Indiana Bill Calc.'!$D$18="Yes 50%",'AES Indiana Bill Calc.'!$D$20="Yes 2023"),'AES Indiana Bill Calc.'!$D$19,-1)</f>
        <v>-1</v>
      </c>
      <c r="C276" s="1" t="s">
        <v>149</v>
      </c>
      <c r="F276" s="36" t="s">
        <v>181</v>
      </c>
      <c r="G276" s="17">
        <f>SUM(J276:M276,O276:P276,R276:AA276)</f>
        <v>54.88</v>
      </c>
      <c r="H276" s="19" t="e">
        <f>IF(ISBLANK(B276),0,+#REF!/B276)</f>
        <v>#REF!</v>
      </c>
      <c r="I276" s="19"/>
      <c r="J276" s="82">
        <f>IF(ISBLANK(B276),0,+J$199)</f>
        <v>55</v>
      </c>
      <c r="K276" s="82">
        <f>ROUND($B276*K$199,2)</f>
        <v>-0.12</v>
      </c>
      <c r="L276" s="82"/>
      <c r="M276" s="41"/>
      <c r="N276" s="17">
        <f>SUM(K276:L276)</f>
        <v>-0.12</v>
      </c>
      <c r="O276" s="41"/>
      <c r="P276" s="41"/>
      <c r="Q276" s="41"/>
      <c r="R276" s="41"/>
      <c r="S276" s="42">
        <f>ROUND($B276*S$199*S275,2)</f>
        <v>0</v>
      </c>
      <c r="T276" s="42">
        <f>ROUND($B276*T$199,2)</f>
        <v>0</v>
      </c>
      <c r="U276" s="42">
        <f>ROUND($B276*U$199,2)</f>
        <v>0</v>
      </c>
      <c r="V276" s="41">
        <f>ROUND($B276*V$197,2)</f>
        <v>0</v>
      </c>
      <c r="W276" s="42">
        <f>ROUND($B276*W$199,2)</f>
        <v>0</v>
      </c>
      <c r="X276" s="42">
        <f>ROUND($B276*X$199,2)</f>
        <v>0</v>
      </c>
      <c r="Y276" s="42">
        <f>ROUND($B276*Y$199,2)</f>
        <v>0</v>
      </c>
      <c r="Z276" s="42">
        <f>ROUND($B276*Z$199,2)</f>
        <v>0</v>
      </c>
      <c r="AA276" s="42">
        <f>ROUND($B276*AA$199,2)</f>
        <v>0</v>
      </c>
      <c r="AB276" s="19">
        <f>SUM(U$199:AA$199)+(-V$199+V241)</f>
        <v>3.4420000000000006E-3</v>
      </c>
      <c r="AC276" s="94" t="str">
        <f>+F276</f>
        <v>SH3</v>
      </c>
    </row>
    <row r="277" spans="1:29" x14ac:dyDescent="0.2">
      <c r="A277" s="96"/>
      <c r="B277" s="97">
        <v>-1</v>
      </c>
      <c r="C277" s="9"/>
      <c r="F277" s="36"/>
      <c r="G277" s="98"/>
      <c r="H277" s="19"/>
      <c r="I277" s="19"/>
      <c r="J277" s="104"/>
      <c r="K277" s="104"/>
      <c r="L277" s="104"/>
      <c r="M277" s="87"/>
      <c r="N277" s="87"/>
      <c r="O277" s="87"/>
      <c r="P277" s="87"/>
      <c r="Q277" s="87"/>
      <c r="R277" s="87"/>
      <c r="S277" s="50">
        <v>0.25</v>
      </c>
      <c r="T277" s="98"/>
      <c r="U277" s="98"/>
      <c r="V277" s="87"/>
      <c r="W277" s="98"/>
      <c r="X277" s="98"/>
      <c r="Y277" s="98"/>
      <c r="Z277" s="98"/>
      <c r="AA277" s="98"/>
      <c r="AB277" s="19"/>
      <c r="AC277" s="105"/>
    </row>
    <row r="278" spans="1:29" x14ac:dyDescent="0.2">
      <c r="A278" s="96"/>
      <c r="B278" s="103">
        <f>IF(AND('AES Indiana Bill Calc.'!$D$17="SH",'AES Indiana Bill Calc.'!$D$18="Yes 25%",'AES Indiana Bill Calc.'!$D$20="Yes 2023"),'AES Indiana Bill Calc.'!$D$19,-1)</f>
        <v>-1</v>
      </c>
      <c r="C278" s="1" t="s">
        <v>150</v>
      </c>
      <c r="F278" s="36" t="s">
        <v>181</v>
      </c>
      <c r="G278" s="17">
        <f>SUM(J278:M278,O278:P278,R278:AA278)</f>
        <v>54.88</v>
      </c>
      <c r="H278" s="19" t="e">
        <f>IF(ISBLANK(B278),0,+#REF!/B278)</f>
        <v>#REF!</v>
      </c>
      <c r="I278" s="19"/>
      <c r="J278" s="82">
        <f>IF(ISBLANK(B278),0,+J$199)</f>
        <v>55</v>
      </c>
      <c r="K278" s="82">
        <f>ROUND($B278*K$199,2)</f>
        <v>-0.12</v>
      </c>
      <c r="L278" s="82"/>
      <c r="M278" s="41"/>
      <c r="N278" s="17">
        <f>SUM(K278:L278)</f>
        <v>-0.12</v>
      </c>
      <c r="O278" s="41"/>
      <c r="P278" s="41"/>
      <c r="Q278" s="41"/>
      <c r="R278" s="41"/>
      <c r="S278" s="42">
        <f>ROUND($B278*S$199*S277,2)</f>
        <v>0</v>
      </c>
      <c r="T278" s="42">
        <f>ROUND($B278*T$199,2)</f>
        <v>0</v>
      </c>
      <c r="U278" s="42">
        <f>ROUND($B278*U$199,2)</f>
        <v>0</v>
      </c>
      <c r="V278" s="41">
        <f>ROUND($B278*V$197,2)</f>
        <v>0</v>
      </c>
      <c r="W278" s="42">
        <f>ROUND($B278*W$199,2)</f>
        <v>0</v>
      </c>
      <c r="X278" s="42">
        <f>ROUND($B278*X$199,2)</f>
        <v>0</v>
      </c>
      <c r="Y278" s="42">
        <f>ROUND($B278*Y$199,2)</f>
        <v>0</v>
      </c>
      <c r="Z278" s="42">
        <f>ROUND($B278*Z$199,2)</f>
        <v>0</v>
      </c>
      <c r="AA278" s="42">
        <f>ROUND($B278*AA$199,2)</f>
        <v>0</v>
      </c>
      <c r="AB278" s="19">
        <f>SUM(U$199:AA$199)+(-V$199+V243)</f>
        <v>3.4420000000000006E-3</v>
      </c>
      <c r="AC278" s="94" t="str">
        <f>+F278</f>
        <v>SH3</v>
      </c>
    </row>
    <row r="279" spans="1:29" x14ac:dyDescent="0.2">
      <c r="A279" s="96"/>
      <c r="B279" s="97">
        <v>-1</v>
      </c>
      <c r="C279" s="9"/>
      <c r="F279" s="36"/>
      <c r="G279" s="98"/>
      <c r="H279" s="19"/>
      <c r="I279" s="19"/>
      <c r="J279" s="104"/>
      <c r="K279" s="104"/>
      <c r="L279" s="104"/>
      <c r="M279" s="87"/>
      <c r="N279" s="87"/>
      <c r="O279" s="87"/>
      <c r="P279" s="87"/>
      <c r="Q279" s="87"/>
      <c r="R279" s="87"/>
      <c r="S279" s="50">
        <v>0.1</v>
      </c>
      <c r="T279" s="98"/>
      <c r="U279" s="98"/>
      <c r="V279" s="87"/>
      <c r="W279" s="98"/>
      <c r="X279" s="98"/>
      <c r="Y279" s="98"/>
      <c r="Z279" s="98"/>
      <c r="AA279" s="98"/>
      <c r="AB279" s="19"/>
      <c r="AC279" s="105"/>
    </row>
    <row r="280" spans="1:29" x14ac:dyDescent="0.2">
      <c r="A280" s="96"/>
      <c r="B280" s="103">
        <f>IF(AND('AES Indiana Bill Calc.'!$D$17="SH",'AES Indiana Bill Calc.'!$D$18="Yes 10%",'AES Indiana Bill Calc.'!$D$20="Yes 2023"),'AES Indiana Bill Calc.'!$D$19,-1)</f>
        <v>-1</v>
      </c>
      <c r="C280" s="1" t="s">
        <v>164</v>
      </c>
      <c r="F280" s="36" t="s">
        <v>181</v>
      </c>
      <c r="G280" s="17">
        <f>SUM(J280:M280,O280:P280,R280:AA280)</f>
        <v>54.88</v>
      </c>
      <c r="H280" s="19" t="e">
        <f>IF(ISBLANK(B280),0,+#REF!/B280)</f>
        <v>#REF!</v>
      </c>
      <c r="I280" s="19"/>
      <c r="J280" s="82">
        <f>IF(ISBLANK(B280),0,+J$199)</f>
        <v>55</v>
      </c>
      <c r="K280" s="82">
        <f>ROUND($B280*K$199,2)</f>
        <v>-0.12</v>
      </c>
      <c r="L280" s="82"/>
      <c r="M280" s="41"/>
      <c r="N280" s="17">
        <f>SUM(K280:L280)</f>
        <v>-0.12</v>
      </c>
      <c r="O280" s="41"/>
      <c r="P280" s="41"/>
      <c r="Q280" s="41"/>
      <c r="R280" s="41"/>
      <c r="S280" s="42">
        <f>ROUND($B280*S$199*S279,2)</f>
        <v>0</v>
      </c>
      <c r="T280" s="42">
        <f>ROUND($B280*T$199,2)</f>
        <v>0</v>
      </c>
      <c r="U280" s="42">
        <f>ROUND($B280*U$199,2)</f>
        <v>0</v>
      </c>
      <c r="V280" s="41">
        <f>ROUND($B280*V$197,2)</f>
        <v>0</v>
      </c>
      <c r="W280" s="42">
        <f>ROUND($B280*W$199,2)</f>
        <v>0</v>
      </c>
      <c r="X280" s="42">
        <f>ROUND($B280*X$199,2)</f>
        <v>0</v>
      </c>
      <c r="Y280" s="42">
        <f>ROUND($B280*Y$199,2)</f>
        <v>0</v>
      </c>
      <c r="Z280" s="42">
        <f>ROUND($B280*Z$199,2)</f>
        <v>0</v>
      </c>
      <c r="AA280" s="42">
        <f>ROUND($B280*AA$199,2)</f>
        <v>0</v>
      </c>
      <c r="AB280" s="19">
        <f>SUM(U$199:AA$199)+(-V$199+V245)</f>
        <v>3.4420000000000006E-3</v>
      </c>
      <c r="AC280" s="94" t="str">
        <f>+F280</f>
        <v>SH3</v>
      </c>
    </row>
    <row r="281" spans="1:29" x14ac:dyDescent="0.2">
      <c r="A281" s="96"/>
      <c r="B281" s="97">
        <v>-1</v>
      </c>
      <c r="C281" s="9"/>
      <c r="F281" s="36"/>
      <c r="G281" s="98"/>
      <c r="H281" s="19"/>
      <c r="I281" s="19"/>
      <c r="J281" s="104"/>
      <c r="K281" s="104"/>
      <c r="L281" s="104"/>
      <c r="M281" s="87"/>
      <c r="N281" s="87"/>
      <c r="O281" s="87"/>
      <c r="P281" s="87"/>
      <c r="Q281" s="87"/>
      <c r="R281" s="87"/>
      <c r="S281" s="50">
        <v>0</v>
      </c>
      <c r="T281" s="98"/>
      <c r="U281" s="98"/>
      <c r="V281" s="87"/>
      <c r="W281" s="98"/>
      <c r="X281" s="98"/>
      <c r="Y281" s="98"/>
      <c r="Z281" s="98"/>
      <c r="AA281" s="98"/>
      <c r="AB281" s="19"/>
      <c r="AC281" s="105"/>
    </row>
    <row r="282" spans="1:29" x14ac:dyDescent="0.2">
      <c r="A282" s="96"/>
      <c r="B282" s="103">
        <f>IF(AND('AES Indiana Bill Calc.'!$D$17="SH",'AES Indiana Bill Calc.'!$D$18="No",'AES Indiana Bill Calc.'!$D$20="Yes 2023"),'AES Indiana Bill Calc.'!$D$19,-1)</f>
        <v>-1</v>
      </c>
      <c r="C282" s="1" t="s">
        <v>147</v>
      </c>
      <c r="F282" s="36" t="s">
        <v>181</v>
      </c>
      <c r="G282" s="17">
        <f>SUM(J282:M282,O282:P282,R282:AA282)</f>
        <v>54.88</v>
      </c>
      <c r="H282" s="19" t="e">
        <f>IF(ISBLANK(B282),0,+#REF!/B282)</f>
        <v>#REF!</v>
      </c>
      <c r="I282" s="19"/>
      <c r="J282" s="82">
        <f>IF(ISBLANK(B282),0,+J$199)</f>
        <v>55</v>
      </c>
      <c r="K282" s="82">
        <f>ROUND($B282*K$199,2)</f>
        <v>-0.12</v>
      </c>
      <c r="L282" s="82"/>
      <c r="M282" s="41"/>
      <c r="N282" s="17">
        <f>SUM(K282:L282)</f>
        <v>-0.12</v>
      </c>
      <c r="O282" s="41"/>
      <c r="P282" s="41"/>
      <c r="Q282" s="41"/>
      <c r="R282" s="41"/>
      <c r="S282" s="42">
        <f>ROUND($B282*S$199*S281,2)</f>
        <v>0</v>
      </c>
      <c r="T282" s="42">
        <f>ROUND($B282*T$199,2)</f>
        <v>0</v>
      </c>
      <c r="U282" s="42">
        <f>ROUND($B282*U$199,2)</f>
        <v>0</v>
      </c>
      <c r="V282" s="41">
        <f>ROUND($B282*V$197,2)</f>
        <v>0</v>
      </c>
      <c r="W282" s="42">
        <f>ROUND($B282*W$199,2)</f>
        <v>0</v>
      </c>
      <c r="X282" s="42">
        <f>ROUND($B282*X$199,2)</f>
        <v>0</v>
      </c>
      <c r="Y282" s="42">
        <f>ROUND($B282*Y$199,2)</f>
        <v>0</v>
      </c>
      <c r="Z282" s="42">
        <f>ROUND($B282*Z$199,2)</f>
        <v>0</v>
      </c>
      <c r="AA282" s="42">
        <f>ROUND($B282*AA$199,2)</f>
        <v>0</v>
      </c>
      <c r="AB282" s="19">
        <f>SUM(U$199:AA$199)+(-V$199+V247)</f>
        <v>3.4420000000000006E-3</v>
      </c>
      <c r="AC282" s="94" t="str">
        <f>+F282</f>
        <v>SH3</v>
      </c>
    </row>
    <row r="283" spans="1:29" x14ac:dyDescent="0.2">
      <c r="A283" s="96"/>
      <c r="B283" s="103">
        <v>-1</v>
      </c>
      <c r="C283" s="1"/>
      <c r="F283" s="36"/>
      <c r="G283" s="17"/>
      <c r="H283" s="19"/>
      <c r="I283" s="19"/>
      <c r="J283" s="82"/>
      <c r="K283" s="82"/>
      <c r="L283" s="82"/>
      <c r="M283" s="41"/>
      <c r="N283" s="17"/>
      <c r="O283" s="41"/>
      <c r="P283" s="41"/>
      <c r="Q283" s="41"/>
      <c r="R283" s="41"/>
      <c r="S283" s="50">
        <v>1</v>
      </c>
      <c r="T283" s="42"/>
      <c r="U283" s="42"/>
      <c r="V283" s="41"/>
      <c r="W283" s="42"/>
      <c r="X283" s="42"/>
      <c r="Y283" s="42"/>
      <c r="Z283" s="42"/>
      <c r="AA283" s="42"/>
      <c r="AB283" s="19"/>
      <c r="AC283" s="94"/>
    </row>
    <row r="284" spans="1:29" x14ac:dyDescent="0.2">
      <c r="A284" s="96"/>
      <c r="B284" s="103">
        <f>IF(AND('AES Indiana Bill Calc.'!$D$17="SH",'AES Indiana Bill Calc.'!$D$18="Yes 100%",'AES Indiana Bill Calc.'!$D$20="Yes 2024"),'AES Indiana Bill Calc.'!$D$19,-1)</f>
        <v>-1</v>
      </c>
      <c r="C284" s="1" t="s">
        <v>148</v>
      </c>
      <c r="F284" s="36" t="s">
        <v>308</v>
      </c>
      <c r="G284" s="17">
        <f>SUM(J284:M284,O284:P284,R284:AA284)</f>
        <v>54.88</v>
      </c>
      <c r="H284" s="19" t="e">
        <f>IF(ISBLANK(B284),0,+#REF!/B284)</f>
        <v>#REF!</v>
      </c>
      <c r="I284" s="19"/>
      <c r="J284" s="82">
        <f>IF(ISBLANK(B284),0,+J$199)</f>
        <v>55</v>
      </c>
      <c r="K284" s="82">
        <f>ROUND($B284*K$199,2)</f>
        <v>-0.12</v>
      </c>
      <c r="L284" s="82"/>
      <c r="M284" s="41"/>
      <c r="N284" s="17">
        <f>SUM(K284:L284)</f>
        <v>-0.12</v>
      </c>
      <c r="O284" s="41"/>
      <c r="P284" s="41"/>
      <c r="Q284" s="41"/>
      <c r="R284" s="41"/>
      <c r="S284" s="42">
        <f>ROUND($B284*S$199*S283,2)</f>
        <v>0</v>
      </c>
      <c r="T284" s="42">
        <f>ROUND($B284*T$199,2)</f>
        <v>0</v>
      </c>
      <c r="U284" s="42">
        <f>ROUND($B284*U$199,2)</f>
        <v>0</v>
      </c>
      <c r="V284" s="41">
        <f>ROUND($B284*V$198,2)</f>
        <v>0</v>
      </c>
      <c r="W284" s="42">
        <f>ROUND($B284*W$199,2)</f>
        <v>0</v>
      </c>
      <c r="X284" s="42">
        <f>ROUND($B284*X$199,2)</f>
        <v>0</v>
      </c>
      <c r="Y284" s="42">
        <f>ROUND($B284*Y$199,2)</f>
        <v>0</v>
      </c>
      <c r="Z284" s="42">
        <f>ROUND($B284*Z$199,2)</f>
        <v>0</v>
      </c>
      <c r="AA284" s="42">
        <f>ROUND($B284*AA$199,2)</f>
        <v>0</v>
      </c>
      <c r="AB284" s="19">
        <f>SUM(U$199:AA$199)+(-V$199+V249)</f>
        <v>3.4420000000000006E-3</v>
      </c>
      <c r="AC284" s="94" t="str">
        <f>+F284</f>
        <v>SH4</v>
      </c>
    </row>
    <row r="285" spans="1:29" x14ac:dyDescent="0.2">
      <c r="A285" s="96"/>
      <c r="B285" s="97">
        <v>-1</v>
      </c>
      <c r="C285" s="9"/>
      <c r="F285" s="36"/>
      <c r="G285" s="98"/>
      <c r="H285" s="19"/>
      <c r="I285" s="19"/>
      <c r="J285" s="104"/>
      <c r="K285" s="104"/>
      <c r="L285" s="104"/>
      <c r="M285" s="87"/>
      <c r="N285" s="87"/>
      <c r="O285" s="87"/>
      <c r="P285" s="87"/>
      <c r="Q285" s="87"/>
      <c r="R285" s="87"/>
      <c r="S285" s="50">
        <v>0.5</v>
      </c>
      <c r="T285" s="98"/>
      <c r="U285" s="98"/>
      <c r="V285" s="87"/>
      <c r="W285" s="98"/>
      <c r="X285" s="98"/>
      <c r="Y285" s="98"/>
      <c r="Z285" s="98"/>
      <c r="AA285" s="98"/>
      <c r="AB285" s="19"/>
      <c r="AC285" s="105"/>
    </row>
    <row r="286" spans="1:29" x14ac:dyDescent="0.2">
      <c r="A286" s="96"/>
      <c r="B286" s="103">
        <f>IF(AND('AES Indiana Bill Calc.'!$D$17="SH",'AES Indiana Bill Calc.'!$D$18="Yes 50%",'AES Indiana Bill Calc.'!$D$20="Yes 2024"),'AES Indiana Bill Calc.'!$D$19,-1)</f>
        <v>-1</v>
      </c>
      <c r="C286" s="1" t="s">
        <v>149</v>
      </c>
      <c r="F286" s="36" t="s">
        <v>308</v>
      </c>
      <c r="G286" s="17">
        <f>SUM(J286:M286,O286:P286,R286:AA286)</f>
        <v>54.88</v>
      </c>
      <c r="H286" s="19" t="e">
        <f>IF(ISBLANK(B286),0,+#REF!/B286)</f>
        <v>#REF!</v>
      </c>
      <c r="I286" s="19"/>
      <c r="J286" s="82">
        <f>IF(ISBLANK(B286),0,+J$199)</f>
        <v>55</v>
      </c>
      <c r="K286" s="82">
        <f>ROUND($B286*K$199,2)</f>
        <v>-0.12</v>
      </c>
      <c r="L286" s="82"/>
      <c r="M286" s="41"/>
      <c r="N286" s="17">
        <f>SUM(K286:L286)</f>
        <v>-0.12</v>
      </c>
      <c r="O286" s="41"/>
      <c r="P286" s="41"/>
      <c r="Q286" s="41"/>
      <c r="R286" s="41"/>
      <c r="S286" s="42">
        <f>ROUND($B286*S$199*S285,2)</f>
        <v>0</v>
      </c>
      <c r="T286" s="42">
        <f>ROUND($B286*T$199,2)</f>
        <v>0</v>
      </c>
      <c r="U286" s="42">
        <f>ROUND($B286*U$199,2)</f>
        <v>0</v>
      </c>
      <c r="V286" s="41">
        <f>ROUND($B286*V$198,2)</f>
        <v>0</v>
      </c>
      <c r="W286" s="42">
        <f>ROUND($B286*W$199,2)</f>
        <v>0</v>
      </c>
      <c r="X286" s="42">
        <f>ROUND($B286*X$199,2)</f>
        <v>0</v>
      </c>
      <c r="Y286" s="42">
        <f>ROUND($B286*Y$199,2)</f>
        <v>0</v>
      </c>
      <c r="Z286" s="42">
        <f>ROUND($B286*Z$199,2)</f>
        <v>0</v>
      </c>
      <c r="AA286" s="42">
        <f>ROUND($B286*AA$199,2)</f>
        <v>0</v>
      </c>
      <c r="AB286" s="19">
        <f>SUM(U$199:AA$199)+(-V$199+V251)</f>
        <v>3.4420000000000006E-3</v>
      </c>
      <c r="AC286" s="94" t="str">
        <f>+F286</f>
        <v>SH4</v>
      </c>
    </row>
    <row r="287" spans="1:29" x14ac:dyDescent="0.2">
      <c r="A287" s="96"/>
      <c r="B287" s="97">
        <v>-1</v>
      </c>
      <c r="C287" s="9"/>
      <c r="F287" s="36"/>
      <c r="G287" s="98"/>
      <c r="H287" s="19"/>
      <c r="I287" s="19"/>
      <c r="J287" s="104"/>
      <c r="K287" s="104"/>
      <c r="L287" s="104"/>
      <c r="M287" s="87"/>
      <c r="N287" s="87"/>
      <c r="O287" s="87"/>
      <c r="P287" s="87"/>
      <c r="Q287" s="87"/>
      <c r="R287" s="87"/>
      <c r="S287" s="50">
        <v>0.25</v>
      </c>
      <c r="T287" s="98"/>
      <c r="U287" s="98"/>
      <c r="V287" s="87"/>
      <c r="W287" s="98"/>
      <c r="X287" s="98"/>
      <c r="Y287" s="98"/>
      <c r="Z287" s="98"/>
      <c r="AA287" s="98"/>
      <c r="AB287" s="19"/>
      <c r="AC287" s="105"/>
    </row>
    <row r="288" spans="1:29" x14ac:dyDescent="0.2">
      <c r="A288" s="96"/>
      <c r="B288" s="103">
        <f>IF(AND('AES Indiana Bill Calc.'!$D$17="SH",'AES Indiana Bill Calc.'!$D$18="Yes 25%",'AES Indiana Bill Calc.'!$D$20="Yes 2024"),'AES Indiana Bill Calc.'!$D$19,-1)</f>
        <v>-1</v>
      </c>
      <c r="C288" s="1" t="s">
        <v>150</v>
      </c>
      <c r="F288" s="36" t="s">
        <v>308</v>
      </c>
      <c r="G288" s="17">
        <f>SUM(J288:M288,O288:P288,R288:AA288)</f>
        <v>54.88</v>
      </c>
      <c r="H288" s="19" t="e">
        <f>IF(ISBLANK(B288),0,+#REF!/B288)</f>
        <v>#REF!</v>
      </c>
      <c r="I288" s="19"/>
      <c r="J288" s="82">
        <f>IF(ISBLANK(B288),0,+J$199)</f>
        <v>55</v>
      </c>
      <c r="K288" s="82">
        <f>ROUND($B288*K$199,2)</f>
        <v>-0.12</v>
      </c>
      <c r="L288" s="82"/>
      <c r="M288" s="41"/>
      <c r="N288" s="17">
        <f>SUM(K288:L288)</f>
        <v>-0.12</v>
      </c>
      <c r="O288" s="41"/>
      <c r="P288" s="41"/>
      <c r="Q288" s="41"/>
      <c r="R288" s="41"/>
      <c r="S288" s="42">
        <f>ROUND($B288*S$199*S287,2)</f>
        <v>0</v>
      </c>
      <c r="T288" s="42">
        <f>ROUND($B288*T$199,2)</f>
        <v>0</v>
      </c>
      <c r="U288" s="42">
        <f>ROUND($B288*U$199,2)</f>
        <v>0</v>
      </c>
      <c r="V288" s="41">
        <f>ROUND($B288*V$198,2)</f>
        <v>0</v>
      </c>
      <c r="W288" s="42">
        <f>ROUND($B288*W$199,2)</f>
        <v>0</v>
      </c>
      <c r="X288" s="42">
        <f>ROUND($B288*X$199,2)</f>
        <v>0</v>
      </c>
      <c r="Y288" s="42">
        <f>ROUND($B288*Y$199,2)</f>
        <v>0</v>
      </c>
      <c r="Z288" s="42">
        <f>ROUND($B288*Z$199,2)</f>
        <v>0</v>
      </c>
      <c r="AA288" s="42">
        <f>ROUND($B288*AA$199,2)</f>
        <v>0</v>
      </c>
      <c r="AB288" s="19">
        <f>SUM(U$199:AA$199)+(-V$199+V253)</f>
        <v>3.4420000000000006E-3</v>
      </c>
      <c r="AC288" s="94" t="str">
        <f>+F288</f>
        <v>SH4</v>
      </c>
    </row>
    <row r="289" spans="1:29" x14ac:dyDescent="0.2">
      <c r="A289" s="96"/>
      <c r="B289" s="97">
        <v>-1</v>
      </c>
      <c r="C289" s="9"/>
      <c r="F289" s="36"/>
      <c r="G289" s="98"/>
      <c r="H289" s="19"/>
      <c r="I289" s="19"/>
      <c r="J289" s="104"/>
      <c r="K289" s="104"/>
      <c r="L289" s="104"/>
      <c r="M289" s="87"/>
      <c r="N289" s="87"/>
      <c r="O289" s="87"/>
      <c r="P289" s="87"/>
      <c r="Q289" s="87"/>
      <c r="R289" s="87"/>
      <c r="S289" s="50">
        <v>0.1</v>
      </c>
      <c r="T289" s="98"/>
      <c r="U289" s="98"/>
      <c r="V289" s="87"/>
      <c r="W289" s="98"/>
      <c r="X289" s="98"/>
      <c r="Y289" s="98"/>
      <c r="Z289" s="98"/>
      <c r="AA289" s="98"/>
      <c r="AB289" s="19"/>
      <c r="AC289" s="105"/>
    </row>
    <row r="290" spans="1:29" x14ac:dyDescent="0.2">
      <c r="A290" s="96"/>
      <c r="B290" s="103">
        <f>IF(AND('AES Indiana Bill Calc.'!$D$17="SH",'AES Indiana Bill Calc.'!$D$18="Yes 10%",'AES Indiana Bill Calc.'!$D$20="Yes 2024"),'AES Indiana Bill Calc.'!$D$19,-1)</f>
        <v>-1</v>
      </c>
      <c r="C290" s="1" t="s">
        <v>164</v>
      </c>
      <c r="F290" s="36" t="s">
        <v>308</v>
      </c>
      <c r="G290" s="17">
        <f>SUM(J290:M290,O290:P290,R290:AA290)</f>
        <v>54.88</v>
      </c>
      <c r="H290" s="19" t="e">
        <f>IF(ISBLANK(B290),0,+#REF!/B290)</f>
        <v>#REF!</v>
      </c>
      <c r="I290" s="19"/>
      <c r="J290" s="82">
        <f>IF(ISBLANK(B290),0,+J$199)</f>
        <v>55</v>
      </c>
      <c r="K290" s="82">
        <f>ROUND($B290*K$199,2)</f>
        <v>-0.12</v>
      </c>
      <c r="L290" s="82"/>
      <c r="M290" s="41"/>
      <c r="N290" s="17">
        <f>SUM(K290:L290)</f>
        <v>-0.12</v>
      </c>
      <c r="O290" s="41"/>
      <c r="P290" s="41"/>
      <c r="Q290" s="41"/>
      <c r="R290" s="41"/>
      <c r="S290" s="42">
        <f>ROUND($B290*S$199*S289,2)</f>
        <v>0</v>
      </c>
      <c r="T290" s="42">
        <f>ROUND($B290*T$199,2)</f>
        <v>0</v>
      </c>
      <c r="U290" s="42">
        <f>ROUND($B290*U$199,2)</f>
        <v>0</v>
      </c>
      <c r="V290" s="41">
        <f>ROUND($B290*V$198,2)</f>
        <v>0</v>
      </c>
      <c r="W290" s="42">
        <f>ROUND($B290*W$199,2)</f>
        <v>0</v>
      </c>
      <c r="X290" s="42">
        <f>ROUND($B290*X$199,2)</f>
        <v>0</v>
      </c>
      <c r="Y290" s="42">
        <f>ROUND($B290*Y$199,2)</f>
        <v>0</v>
      </c>
      <c r="Z290" s="42">
        <f>ROUND($B290*Z$199,2)</f>
        <v>0</v>
      </c>
      <c r="AA290" s="42">
        <f>ROUND($B290*AA$199,2)</f>
        <v>0</v>
      </c>
      <c r="AB290" s="19">
        <f>SUM(U$199:AA$199)+(-V$199+V255)</f>
        <v>3.4420000000000006E-3</v>
      </c>
      <c r="AC290" s="94" t="str">
        <f>+F290</f>
        <v>SH4</v>
      </c>
    </row>
    <row r="291" spans="1:29" x14ac:dyDescent="0.2">
      <c r="A291" s="96"/>
      <c r="B291" s="97">
        <v>-1</v>
      </c>
      <c r="C291" s="9"/>
      <c r="F291" s="36"/>
      <c r="G291" s="98"/>
      <c r="H291" s="19"/>
      <c r="I291" s="19"/>
      <c r="J291" s="104"/>
      <c r="K291" s="104"/>
      <c r="L291" s="104"/>
      <c r="M291" s="87"/>
      <c r="N291" s="87"/>
      <c r="O291" s="87"/>
      <c r="P291" s="87"/>
      <c r="Q291" s="87"/>
      <c r="R291" s="87"/>
      <c r="S291" s="50">
        <v>0</v>
      </c>
      <c r="T291" s="98"/>
      <c r="U291" s="98"/>
      <c r="V291" s="87"/>
      <c r="W291" s="98"/>
      <c r="X291" s="98"/>
      <c r="Y291" s="98"/>
      <c r="Z291" s="98"/>
      <c r="AA291" s="98"/>
      <c r="AB291" s="19"/>
      <c r="AC291" s="105"/>
    </row>
    <row r="292" spans="1:29" x14ac:dyDescent="0.2">
      <c r="A292" s="96"/>
      <c r="B292" s="103">
        <f>IF(AND('AES Indiana Bill Calc.'!$D$17="SH",'AES Indiana Bill Calc.'!$D$18="No",'AES Indiana Bill Calc.'!$D$20="Yes 2024"),'AES Indiana Bill Calc.'!$D$19,-1)</f>
        <v>-1</v>
      </c>
      <c r="C292" s="1" t="s">
        <v>147</v>
      </c>
      <c r="F292" s="36" t="s">
        <v>308</v>
      </c>
      <c r="G292" s="17">
        <f>SUM(J292:M292,O292:P292,R292:AA292)</f>
        <v>54.88</v>
      </c>
      <c r="H292" s="19" t="e">
        <f>IF(ISBLANK(B292),0,+#REF!/B292)</f>
        <v>#REF!</v>
      </c>
      <c r="I292" s="19"/>
      <c r="J292" s="82">
        <f>IF(ISBLANK(B292),0,+J$199)</f>
        <v>55</v>
      </c>
      <c r="K292" s="82">
        <f>ROUND($B292*K$199,2)</f>
        <v>-0.12</v>
      </c>
      <c r="L292" s="82"/>
      <c r="M292" s="41"/>
      <c r="N292" s="17">
        <f>SUM(K292:L292)</f>
        <v>-0.12</v>
      </c>
      <c r="O292" s="41"/>
      <c r="P292" s="41"/>
      <c r="Q292" s="41"/>
      <c r="R292" s="41"/>
      <c r="S292" s="42">
        <f>ROUND($B292*S$199*S291,2)</f>
        <v>0</v>
      </c>
      <c r="T292" s="42">
        <f>ROUND($B292*T$199,2)</f>
        <v>0</v>
      </c>
      <c r="U292" s="42">
        <f>ROUND($B292*U$199,2)</f>
        <v>0</v>
      </c>
      <c r="V292" s="41">
        <f>ROUND($B292*V$198,2)</f>
        <v>0</v>
      </c>
      <c r="W292" s="42">
        <f>ROUND($B292*W$199,2)</f>
        <v>0</v>
      </c>
      <c r="X292" s="42">
        <f>ROUND($B292*X$199,2)</f>
        <v>0</v>
      </c>
      <c r="Y292" s="42">
        <f>ROUND($B292*Y$199,2)</f>
        <v>0</v>
      </c>
      <c r="Z292" s="42">
        <f>ROUND($B292*Z$199,2)</f>
        <v>0</v>
      </c>
      <c r="AA292" s="42">
        <f>ROUND($B292*AA$199,2)</f>
        <v>0</v>
      </c>
      <c r="AB292" s="19">
        <f>SUM(U$199:AA$199)+(-V$199+V257)</f>
        <v>3.4420000000000006E-3</v>
      </c>
      <c r="AC292" s="94" t="str">
        <f>+F292</f>
        <v>SH4</v>
      </c>
    </row>
    <row r="293" spans="1:29" x14ac:dyDescent="0.2">
      <c r="A293" s="96"/>
      <c r="B293" s="103">
        <v>-1</v>
      </c>
      <c r="C293" s="1"/>
      <c r="F293" s="36"/>
      <c r="G293" s="17"/>
      <c r="H293" s="19"/>
      <c r="I293" s="19"/>
      <c r="J293" s="82"/>
      <c r="K293" s="82"/>
      <c r="L293" s="82"/>
      <c r="M293" s="41"/>
      <c r="N293" s="17"/>
      <c r="O293" s="41"/>
      <c r="P293" s="41"/>
      <c r="Q293" s="41"/>
      <c r="R293" s="41"/>
      <c r="S293" s="42"/>
      <c r="T293" s="42"/>
      <c r="U293" s="42"/>
      <c r="V293" s="41"/>
      <c r="W293" s="42"/>
      <c r="X293" s="42"/>
      <c r="Y293" s="42"/>
      <c r="Z293" s="42"/>
      <c r="AA293" s="42"/>
      <c r="AB293" s="19"/>
      <c r="AC293" s="94"/>
    </row>
    <row r="294" spans="1:29" x14ac:dyDescent="0.2">
      <c r="A294" s="96"/>
      <c r="B294" s="103">
        <v>-1</v>
      </c>
      <c r="C294" s="1"/>
      <c r="F294" s="36"/>
      <c r="G294" s="17"/>
      <c r="H294" s="19"/>
      <c r="I294" s="19"/>
      <c r="J294" s="82"/>
      <c r="K294" s="82"/>
      <c r="L294" s="82"/>
      <c r="M294" s="41"/>
      <c r="N294" s="17"/>
      <c r="O294" s="41"/>
      <c r="P294" s="41"/>
      <c r="Q294" s="41"/>
      <c r="R294" s="41"/>
      <c r="S294" s="42"/>
      <c r="T294" s="42"/>
      <c r="U294" s="42"/>
      <c r="V294" s="41"/>
      <c r="W294" s="42"/>
      <c r="X294" s="42"/>
      <c r="Y294" s="42"/>
      <c r="Z294" s="42"/>
      <c r="AA294" s="42"/>
      <c r="AB294" s="19"/>
      <c r="AC294" s="94"/>
    </row>
    <row r="295" spans="1:29" x14ac:dyDescent="0.2">
      <c r="B295" s="103">
        <v>-1</v>
      </c>
      <c r="C295" s="9"/>
      <c r="G295" s="17"/>
      <c r="H295" s="19"/>
      <c r="I295" s="19"/>
      <c r="J295" s="16"/>
      <c r="K295" s="16"/>
      <c r="L295" s="16"/>
      <c r="M295" s="8"/>
      <c r="N295" s="8"/>
      <c r="O295" s="8"/>
      <c r="P295" s="8"/>
      <c r="Q295" s="8"/>
      <c r="R295" s="8"/>
      <c r="S295" s="17"/>
      <c r="T295" s="17"/>
      <c r="U295" s="17"/>
      <c r="V295" s="27">
        <f>+T9</f>
        <v>0</v>
      </c>
      <c r="W295" s="6" t="s">
        <v>172</v>
      </c>
      <c r="X295" s="17"/>
      <c r="Y295" s="17"/>
      <c r="Z295" s="17"/>
      <c r="AA295" s="17"/>
      <c r="AB295" s="19" t="e">
        <f>+AB$199-V$199+#REF!</f>
        <v>#REF!</v>
      </c>
    </row>
    <row r="296" spans="1:29" x14ac:dyDescent="0.2">
      <c r="B296" s="103">
        <v>-1</v>
      </c>
      <c r="C296" s="9"/>
      <c r="H296" s="19"/>
      <c r="I296" s="19"/>
      <c r="J296" s="16"/>
      <c r="K296" s="16"/>
      <c r="L296" s="16"/>
      <c r="M296" s="8"/>
      <c r="N296" s="8"/>
      <c r="O296" s="8"/>
      <c r="P296" s="8"/>
      <c r="Q296" s="8"/>
      <c r="R296" s="8"/>
      <c r="S296" s="17"/>
      <c r="T296" s="17"/>
      <c r="U296" s="17"/>
      <c r="V296" s="27">
        <f>+T11</f>
        <v>0</v>
      </c>
      <c r="W296" s="6" t="s">
        <v>154</v>
      </c>
      <c r="X296" s="17"/>
      <c r="Y296" s="17"/>
      <c r="Z296" s="17"/>
      <c r="AA296" s="17"/>
      <c r="AB296" s="19">
        <f>+AB$199-V$199+V295</f>
        <v>3.8980000000000004E-3</v>
      </c>
    </row>
    <row r="297" spans="1:29" x14ac:dyDescent="0.2">
      <c r="B297" s="103">
        <v>-1</v>
      </c>
      <c r="C297" s="9"/>
      <c r="H297" s="19"/>
      <c r="I297" s="19"/>
      <c r="J297" s="16"/>
      <c r="K297" s="16"/>
      <c r="L297" s="16"/>
      <c r="M297" s="8"/>
      <c r="N297" s="8"/>
      <c r="O297" s="8"/>
      <c r="P297" s="8"/>
      <c r="Q297" s="8"/>
      <c r="R297" s="8"/>
      <c r="S297" s="17"/>
      <c r="T297" s="17"/>
      <c r="U297" s="17"/>
      <c r="V297" s="27">
        <f>+T13</f>
        <v>0</v>
      </c>
      <c r="W297" s="6" t="s">
        <v>155</v>
      </c>
      <c r="X297" s="17"/>
      <c r="Y297" s="17"/>
      <c r="Z297" s="17"/>
      <c r="AA297" s="17"/>
      <c r="AB297" s="19">
        <f>+AB$199-V$199+V296</f>
        <v>3.8980000000000004E-3</v>
      </c>
    </row>
    <row r="298" spans="1:29" x14ac:dyDescent="0.2">
      <c r="B298" s="103">
        <v>-1</v>
      </c>
      <c r="C298" s="9"/>
      <c r="H298" s="19"/>
      <c r="I298" s="19"/>
      <c r="J298" s="16"/>
      <c r="K298" s="16"/>
      <c r="L298" s="16"/>
      <c r="M298" s="8"/>
      <c r="N298" s="8"/>
      <c r="O298" s="8"/>
      <c r="P298" s="8"/>
      <c r="Q298" s="8"/>
      <c r="R298" s="8"/>
      <c r="S298" s="17"/>
      <c r="T298" s="17"/>
      <c r="U298" s="17"/>
      <c r="V298" s="27">
        <f>T15</f>
        <v>1.37E-4</v>
      </c>
      <c r="W298" s="6" t="s">
        <v>156</v>
      </c>
      <c r="X298" s="17"/>
      <c r="Y298" s="17"/>
      <c r="Z298" s="17"/>
      <c r="AA298" s="17"/>
      <c r="AB298" s="19"/>
    </row>
    <row r="299" spans="1:29" x14ac:dyDescent="0.2">
      <c r="B299" s="103">
        <v>-1</v>
      </c>
      <c r="C299" s="9"/>
      <c r="H299" s="19"/>
      <c r="I299" s="19"/>
      <c r="J299" s="16"/>
      <c r="K299" s="16"/>
      <c r="L299" s="16"/>
      <c r="M299" s="8"/>
      <c r="N299" s="8"/>
      <c r="O299" s="8"/>
      <c r="P299" s="8"/>
      <c r="Q299" s="8"/>
      <c r="R299" s="8"/>
      <c r="S299" s="17"/>
      <c r="T299" s="17"/>
      <c r="U299" s="17"/>
      <c r="V299" s="27">
        <f>$T$18</f>
        <v>-9.0000000000000002E-6</v>
      </c>
      <c r="W299" s="6" t="s">
        <v>157</v>
      </c>
      <c r="X299" s="17"/>
      <c r="Y299" s="17"/>
      <c r="Z299" s="17"/>
      <c r="AA299" s="17"/>
      <c r="AB299" s="19"/>
    </row>
    <row r="300" spans="1:29" x14ac:dyDescent="0.2">
      <c r="B300" s="103">
        <v>-1</v>
      </c>
      <c r="C300" s="9"/>
      <c r="H300" s="19"/>
      <c r="I300" s="19"/>
      <c r="J300" s="16"/>
      <c r="K300" s="16"/>
      <c r="L300" s="16"/>
      <c r="M300" s="8"/>
      <c r="N300" s="8"/>
      <c r="O300" s="8"/>
      <c r="P300" s="8"/>
      <c r="Q300" s="8"/>
      <c r="R300" s="8"/>
      <c r="S300" s="17"/>
      <c r="T300" s="17"/>
      <c r="U300" s="17"/>
      <c r="V300" s="27">
        <f>$T$20</f>
        <v>-2.5500000000000002E-4</v>
      </c>
      <c r="W300" s="6" t="s">
        <v>158</v>
      </c>
      <c r="X300" s="17"/>
      <c r="Y300" s="17"/>
      <c r="Z300" s="17"/>
      <c r="AA300" s="17"/>
      <c r="AB300" s="19"/>
    </row>
    <row r="301" spans="1:29" x14ac:dyDescent="0.2">
      <c r="B301" s="103">
        <v>-1</v>
      </c>
      <c r="C301" s="9"/>
      <c r="H301" s="19"/>
      <c r="I301" s="19"/>
      <c r="J301" s="16"/>
      <c r="K301" s="16"/>
      <c r="L301" s="16"/>
      <c r="M301" s="8"/>
      <c r="N301" s="8"/>
      <c r="O301" s="8"/>
      <c r="P301" s="8"/>
      <c r="Q301" s="8"/>
      <c r="R301" s="8"/>
      <c r="S301" s="17"/>
      <c r="T301" s="17"/>
      <c r="U301" s="17"/>
      <c r="V301" s="27">
        <f>$T$22</f>
        <v>-2.941E-3</v>
      </c>
      <c r="W301" s="6" t="s">
        <v>159</v>
      </c>
      <c r="X301" s="17"/>
      <c r="Y301" s="17"/>
      <c r="Z301" s="17"/>
      <c r="AA301" s="17"/>
      <c r="AB301" s="19"/>
    </row>
    <row r="302" spans="1:29" x14ac:dyDescent="0.2">
      <c r="B302" s="103">
        <v>-1</v>
      </c>
      <c r="C302" s="9"/>
      <c r="H302" s="19"/>
      <c r="I302" s="19"/>
      <c r="J302" s="16"/>
      <c r="K302" s="16"/>
      <c r="L302" s="16"/>
      <c r="M302" s="8"/>
      <c r="N302" s="8"/>
      <c r="O302" s="8"/>
      <c r="P302" s="8"/>
      <c r="Q302" s="8"/>
      <c r="R302" s="8"/>
      <c r="S302" s="17"/>
      <c r="T302" s="17"/>
      <c r="U302" s="17"/>
      <c r="V302" s="27">
        <f>$T$24</f>
        <v>0</v>
      </c>
      <c r="W302" s="6" t="s">
        <v>160</v>
      </c>
      <c r="X302" s="17"/>
      <c r="Y302" s="17"/>
      <c r="Z302" s="17"/>
      <c r="AA302" s="17"/>
      <c r="AB302" s="19"/>
    </row>
    <row r="303" spans="1:29" x14ac:dyDescent="0.2">
      <c r="B303" s="103">
        <v>-1</v>
      </c>
      <c r="C303" s="9"/>
      <c r="H303" s="19"/>
      <c r="I303" s="19"/>
      <c r="J303" s="16"/>
      <c r="K303" s="16"/>
      <c r="L303" s="16"/>
      <c r="M303" s="8"/>
      <c r="N303" s="8"/>
      <c r="O303" s="8"/>
      <c r="P303" s="8"/>
      <c r="Q303" s="8"/>
      <c r="R303" s="8"/>
      <c r="S303" s="17"/>
      <c r="T303" s="17"/>
      <c r="U303" s="17"/>
      <c r="V303" s="19">
        <f>T26</f>
        <v>0</v>
      </c>
      <c r="W303" s="6" t="s">
        <v>161</v>
      </c>
      <c r="X303" s="17"/>
      <c r="Y303" s="17"/>
      <c r="Z303" s="17"/>
      <c r="AA303" s="17"/>
      <c r="AB303" s="19"/>
    </row>
    <row r="304" spans="1:29" x14ac:dyDescent="0.2">
      <c r="B304" s="103"/>
      <c r="C304" s="9"/>
      <c r="H304" s="19"/>
      <c r="I304" s="19"/>
      <c r="J304" s="16"/>
      <c r="K304" s="16"/>
      <c r="L304" s="16"/>
      <c r="M304" s="8"/>
      <c r="N304" s="8"/>
      <c r="O304" s="8"/>
      <c r="P304" s="8"/>
      <c r="Q304" s="8"/>
      <c r="R304" s="8"/>
      <c r="S304" s="17"/>
      <c r="T304" s="17"/>
      <c r="U304" s="17"/>
      <c r="V304" s="19">
        <f>T28</f>
        <v>1.15E-3</v>
      </c>
      <c r="W304" s="6" t="s">
        <v>301</v>
      </c>
      <c r="X304" s="17"/>
      <c r="Y304" s="17"/>
      <c r="Z304" s="17"/>
      <c r="AA304" s="17"/>
      <c r="AB304" s="19"/>
    </row>
    <row r="305" spans="1:29" x14ac:dyDescent="0.2">
      <c r="B305" s="103">
        <v>-1</v>
      </c>
      <c r="C305" s="4"/>
      <c r="D305" s="73">
        <v>155</v>
      </c>
      <c r="F305" s="72"/>
      <c r="G305" s="70"/>
      <c r="H305" s="70"/>
      <c r="I305" s="75"/>
      <c r="J305" s="161">
        <v>55</v>
      </c>
      <c r="K305" s="162">
        <v>0.13331799999999999</v>
      </c>
      <c r="L305" s="162">
        <v>0.118838</v>
      </c>
      <c r="M305" s="162">
        <v>0.105146</v>
      </c>
      <c r="N305" s="71"/>
      <c r="O305" s="71"/>
      <c r="P305" s="71"/>
      <c r="Q305" s="71"/>
      <c r="R305" s="5"/>
      <c r="S305" s="27">
        <f>+M$4</f>
        <v>3.0000000000000001E-3</v>
      </c>
      <c r="T305" s="27">
        <f t="shared" ref="T305:AA305" si="22">+R$4</f>
        <v>-3.4320000000000002E-3</v>
      </c>
      <c r="U305" s="117">
        <f>+S$4</f>
        <v>1.523E-3</v>
      </c>
      <c r="V305" s="27">
        <f t="shared" si="22"/>
        <v>6.6499999999999997E-3</v>
      </c>
      <c r="W305" s="27">
        <f t="shared" si="22"/>
        <v>0</v>
      </c>
      <c r="X305" s="27">
        <f t="shared" si="22"/>
        <v>3.2620000000000001E-3</v>
      </c>
      <c r="Y305" s="27">
        <f t="shared" si="22"/>
        <v>-1.3760000000000001E-3</v>
      </c>
      <c r="Z305" s="27">
        <f t="shared" si="22"/>
        <v>4.8899999999999996E-4</v>
      </c>
      <c r="AA305" s="27">
        <f t="shared" si="22"/>
        <v>-4.5600000000000003E-4</v>
      </c>
      <c r="AB305" s="19">
        <f>SUM(U305:Z305)</f>
        <v>1.0548E-2</v>
      </c>
    </row>
    <row r="306" spans="1:29" x14ac:dyDescent="0.2">
      <c r="A306" s="1"/>
      <c r="B306" s="103">
        <v>-1</v>
      </c>
      <c r="C306" s="1" t="s">
        <v>182</v>
      </c>
      <c r="D306" s="151" t="s">
        <v>182</v>
      </c>
      <c r="F306" s="72"/>
      <c r="G306" s="70"/>
      <c r="H306" s="70"/>
      <c r="I306" s="75"/>
      <c r="J306" s="73"/>
      <c r="K306" s="73">
        <v>5000</v>
      </c>
      <c r="L306" s="70"/>
      <c r="M306" s="70"/>
      <c r="N306" s="70"/>
      <c r="O306" s="70"/>
      <c r="P306" s="70"/>
      <c r="Q306" s="143" t="s">
        <v>173</v>
      </c>
    </row>
    <row r="307" spans="1:29" x14ac:dyDescent="0.2">
      <c r="B307" s="103">
        <v>-1</v>
      </c>
      <c r="C307" s="33" t="s">
        <v>127</v>
      </c>
      <c r="D307" s="33" t="s">
        <v>127</v>
      </c>
      <c r="F307" s="12"/>
      <c r="I307" s="19"/>
      <c r="J307" s="12" t="s">
        <v>137</v>
      </c>
      <c r="K307" s="204" t="s">
        <v>28</v>
      </c>
      <c r="L307" s="204"/>
      <c r="M307" s="12"/>
      <c r="N307" s="12"/>
      <c r="O307" s="12"/>
      <c r="P307" s="12"/>
      <c r="Q307" s="12"/>
      <c r="R307" s="12"/>
      <c r="S307" s="12">
        <v>21</v>
      </c>
      <c r="T307" s="12">
        <v>6</v>
      </c>
      <c r="U307" s="12">
        <v>3</v>
      </c>
      <c r="V307" s="12">
        <v>22</v>
      </c>
      <c r="W307" s="12">
        <v>13</v>
      </c>
      <c r="X307" s="12">
        <v>20</v>
      </c>
      <c r="Y307" s="12">
        <v>24</v>
      </c>
      <c r="Z307" s="12">
        <v>25</v>
      </c>
      <c r="AA307" s="12">
        <v>26</v>
      </c>
    </row>
    <row r="308" spans="1:29" x14ac:dyDescent="0.2">
      <c r="A308" s="13"/>
      <c r="B308" s="103" t="s">
        <v>140</v>
      </c>
      <c r="C308" s="31" t="s">
        <v>183</v>
      </c>
      <c r="D308" s="13" t="s">
        <v>140</v>
      </c>
      <c r="F308" s="13" t="s">
        <v>141</v>
      </c>
      <c r="G308" s="13" t="s">
        <v>142</v>
      </c>
      <c r="H308" s="13" t="s">
        <v>143</v>
      </c>
      <c r="I308" s="19"/>
      <c r="J308" s="13" t="s">
        <v>144</v>
      </c>
      <c r="K308" s="13" t="s">
        <v>162</v>
      </c>
      <c r="L308" s="13" t="s">
        <v>163</v>
      </c>
      <c r="M308" s="13" t="s">
        <v>184</v>
      </c>
      <c r="N308" s="143" t="s">
        <v>138</v>
      </c>
      <c r="O308" s="13"/>
      <c r="P308" s="13"/>
      <c r="Q308" s="13"/>
      <c r="R308" s="13"/>
      <c r="S308" s="13" t="s">
        <v>106</v>
      </c>
      <c r="T308" s="13" t="s">
        <v>36</v>
      </c>
      <c r="U308" s="139" t="s">
        <v>38</v>
      </c>
      <c r="V308" s="13" t="s">
        <v>107</v>
      </c>
      <c r="W308" s="13" t="s">
        <v>108</v>
      </c>
      <c r="X308" s="13" t="s">
        <v>109</v>
      </c>
      <c r="Y308" s="139" t="s">
        <v>44</v>
      </c>
      <c r="Z308" s="139" t="s">
        <v>46</v>
      </c>
      <c r="AA308" s="139" t="s">
        <v>48</v>
      </c>
      <c r="AB308" s="66" t="s">
        <v>110</v>
      </c>
    </row>
    <row r="309" spans="1:29" x14ac:dyDescent="0.2">
      <c r="B309" s="103">
        <v>-1</v>
      </c>
      <c r="C309" s="34"/>
      <c r="F309" s="12"/>
      <c r="G309" s="12"/>
      <c r="H309" s="12"/>
      <c r="I309" s="19"/>
      <c r="J309" s="12"/>
      <c r="K309" s="35">
        <f>IF(D310&gt;K$306,+K$306,D310)</f>
        <v>0</v>
      </c>
      <c r="L309" s="35">
        <f>IF(D310&gt;K309,+D310-K309,0)</f>
        <v>0</v>
      </c>
      <c r="M309" s="34">
        <f>IF(B310&gt;D310,+B310-D310,0)</f>
        <v>0</v>
      </c>
      <c r="N309" s="34"/>
      <c r="O309" s="34"/>
      <c r="P309" s="34"/>
      <c r="Q309" s="34"/>
      <c r="R309" s="12"/>
      <c r="S309" s="50">
        <v>1</v>
      </c>
      <c r="T309" s="12"/>
      <c r="U309" s="12"/>
      <c r="V309" s="12"/>
      <c r="W309" s="12"/>
      <c r="X309" s="12"/>
      <c r="Y309" s="12"/>
      <c r="Z309" s="12"/>
      <c r="AA309" s="12"/>
    </row>
    <row r="310" spans="1:29" x14ac:dyDescent="0.2">
      <c r="A310" s="1" t="s">
        <v>148</v>
      </c>
      <c r="B310" s="103">
        <f>IF(AND('AES Indiana Bill Calc.'!$D$17="SE",'AES Indiana Bill Calc.'!$D$18="Yes 100%",'AES Indiana Bill Calc.'!$D$20="No"),'AES Indiana Bill Calc.'!$D$19,-1)</f>
        <v>-1</v>
      </c>
      <c r="C310" s="103" t="b">
        <f>IF(AND('AES Indiana Bill Calc.'!$D$17="SE",'AES Indiana Bill Calc.'!$D$18="Yes 100%",'AES Indiana Bill Calc.'!$D$20="No"),'AES Indiana Bill Calc.'!$D$23)</f>
        <v>0</v>
      </c>
      <c r="D310" s="2">
        <f>ROUND(C310*D$305,0)</f>
        <v>0</v>
      </c>
      <c r="F310" s="36" t="s">
        <v>57</v>
      </c>
      <c r="G310" s="17">
        <f>SUM(J310:M310,O310:P310,R310:AA310)</f>
        <v>54.99</v>
      </c>
      <c r="H310" s="19" t="e">
        <f>IF(ISBLANK(B310),0,+#REF!/B310)</f>
        <v>#REF!</v>
      </c>
      <c r="I310" s="19"/>
      <c r="J310" s="16">
        <f>IF(ISBLANK(B310),0,+J$305)</f>
        <v>55</v>
      </c>
      <c r="K310" s="16">
        <f>ROUND(K309*K$305,2)</f>
        <v>0</v>
      </c>
      <c r="L310" s="16">
        <f>ROUND(L309*L$305,2)</f>
        <v>0</v>
      </c>
      <c r="M310" s="16">
        <f>ROUND(M309*M$305,2)</f>
        <v>0</v>
      </c>
      <c r="N310" s="16">
        <f>SUM(K310:M310)</f>
        <v>0</v>
      </c>
      <c r="O310" s="16"/>
      <c r="P310" s="16"/>
      <c r="Q310" s="16"/>
      <c r="R310" s="8"/>
      <c r="S310" s="17">
        <f>ROUND($B310*S$305*S309,2)</f>
        <v>0</v>
      </c>
      <c r="T310" s="17">
        <f t="shared" ref="T310:AA310" si="23">ROUND($B310*T$305,2)</f>
        <v>0</v>
      </c>
      <c r="U310" s="17">
        <f t="shared" si="23"/>
        <v>0</v>
      </c>
      <c r="V310" s="17">
        <f t="shared" si="23"/>
        <v>-0.01</v>
      </c>
      <c r="W310" s="17">
        <f t="shared" si="23"/>
        <v>0</v>
      </c>
      <c r="X310" s="17">
        <f t="shared" si="23"/>
        <v>0</v>
      </c>
      <c r="Y310" s="17">
        <f t="shared" si="23"/>
        <v>0</v>
      </c>
      <c r="Z310" s="17">
        <f t="shared" si="23"/>
        <v>0</v>
      </c>
      <c r="AA310" s="17">
        <f t="shared" si="23"/>
        <v>0</v>
      </c>
      <c r="AB310" s="19">
        <f>SUM(U305:AA305)</f>
        <v>1.0092E-2</v>
      </c>
      <c r="AC310" s="67" t="str">
        <f>+F310</f>
        <v>SE</v>
      </c>
    </row>
    <row r="311" spans="1:29" x14ac:dyDescent="0.2">
      <c r="A311" s="9"/>
      <c r="B311" s="103">
        <v>-1</v>
      </c>
      <c r="C311" s="34"/>
      <c r="F311" s="12"/>
      <c r="G311" s="12"/>
      <c r="H311" s="12"/>
      <c r="I311" s="19"/>
      <c r="J311" s="12"/>
      <c r="K311" s="35">
        <f>IF(D312&gt;K$306,+K$306,D312)</f>
        <v>0</v>
      </c>
      <c r="L311" s="35">
        <f>IF(D312&gt;K311,+D312-K311,0)</f>
        <v>0</v>
      </c>
      <c r="M311" s="34">
        <f>IF(B312&gt;D312,+B312-D312,0)</f>
        <v>0</v>
      </c>
      <c r="N311" s="34"/>
      <c r="O311" s="34"/>
      <c r="P311" s="34"/>
      <c r="Q311" s="34"/>
      <c r="R311" s="12"/>
      <c r="S311" s="50">
        <v>0.5</v>
      </c>
      <c r="T311" s="12"/>
      <c r="U311" s="12"/>
      <c r="V311" s="12"/>
      <c r="W311" s="12"/>
      <c r="X311" s="12"/>
      <c r="Y311" s="12"/>
      <c r="Z311" s="12"/>
      <c r="AA311" s="12"/>
    </row>
    <row r="312" spans="1:29" x14ac:dyDescent="0.2">
      <c r="A312" s="1" t="s">
        <v>149</v>
      </c>
      <c r="B312" s="103">
        <f>IF(AND('AES Indiana Bill Calc.'!$D$17="SE",'AES Indiana Bill Calc.'!$D$18="Yes 50%",'AES Indiana Bill Calc.'!$D$20="No"),'AES Indiana Bill Calc.'!$D$19,-1)</f>
        <v>-1</v>
      </c>
      <c r="C312" s="103" t="b">
        <f>IF(AND('AES Indiana Bill Calc.'!$D$17="SE",'AES Indiana Bill Calc.'!$D$18="Yes 50%",'AES Indiana Bill Calc.'!$D$20="No"),'AES Indiana Bill Calc.'!$D$23)</f>
        <v>0</v>
      </c>
      <c r="D312" s="2">
        <f>ROUND(C312*D$305,0)</f>
        <v>0</v>
      </c>
      <c r="F312" s="36" t="s">
        <v>57</v>
      </c>
      <c r="G312" s="17">
        <f>SUM(J312:M312,O312:P312,R312:AA312)</f>
        <v>54.99</v>
      </c>
      <c r="H312" s="19" t="e">
        <f>IF(ISBLANK(B312),0,+#REF!/B312)</f>
        <v>#REF!</v>
      </c>
      <c r="I312" s="19"/>
      <c r="J312" s="16">
        <f>IF(ISBLANK(B312),0,+J$305)</f>
        <v>55</v>
      </c>
      <c r="K312" s="16">
        <f>ROUND(K311*K$305,2)</f>
        <v>0</v>
      </c>
      <c r="L312" s="16">
        <f>ROUND(L311*L$305,2)</f>
        <v>0</v>
      </c>
      <c r="M312" s="16">
        <f>ROUND(M311*M$305,2)</f>
        <v>0</v>
      </c>
      <c r="N312" s="16">
        <f>SUM(K312:M312)</f>
        <v>0</v>
      </c>
      <c r="O312" s="16"/>
      <c r="P312" s="16"/>
      <c r="Q312" s="16"/>
      <c r="R312" s="8"/>
      <c r="S312" s="17">
        <f>ROUND($B312*S$305*S311,2)</f>
        <v>0</v>
      </c>
      <c r="T312" s="17">
        <f t="shared" ref="T312:AA312" si="24">ROUND($B312*T$305,2)</f>
        <v>0</v>
      </c>
      <c r="U312" s="17">
        <f t="shared" si="24"/>
        <v>0</v>
      </c>
      <c r="V312" s="17">
        <f t="shared" si="24"/>
        <v>-0.01</v>
      </c>
      <c r="W312" s="17">
        <f t="shared" si="24"/>
        <v>0</v>
      </c>
      <c r="X312" s="17">
        <f t="shared" si="24"/>
        <v>0</v>
      </c>
      <c r="Y312" s="17">
        <f t="shared" si="24"/>
        <v>0</v>
      </c>
      <c r="Z312" s="17">
        <f t="shared" si="24"/>
        <v>0</v>
      </c>
      <c r="AA312" s="17">
        <f t="shared" si="24"/>
        <v>0</v>
      </c>
      <c r="AB312" s="19">
        <f>SUM(U307:AA307)</f>
        <v>133</v>
      </c>
      <c r="AC312" s="67" t="str">
        <f>+F312</f>
        <v>SE</v>
      </c>
    </row>
    <row r="313" spans="1:29" x14ac:dyDescent="0.2">
      <c r="A313" s="9"/>
      <c r="B313" s="103">
        <v>-1</v>
      </c>
      <c r="C313" s="34"/>
      <c r="F313" s="12"/>
      <c r="G313" s="12"/>
      <c r="H313" s="12"/>
      <c r="I313" s="19"/>
      <c r="J313" s="12"/>
      <c r="K313" s="35">
        <f>IF(D314&gt;K$306,+K$306,D314)</f>
        <v>0</v>
      </c>
      <c r="L313" s="35">
        <f>IF(D314&gt;K313,+D314-K313,0)</f>
        <v>0</v>
      </c>
      <c r="M313" s="34">
        <f>IF(B314&gt;D314,+B314-D314,0)</f>
        <v>0</v>
      </c>
      <c r="N313" s="34"/>
      <c r="O313" s="34"/>
      <c r="P313" s="34"/>
      <c r="Q313" s="34"/>
      <c r="R313" s="12"/>
      <c r="S313" s="50">
        <v>0.25</v>
      </c>
      <c r="T313" s="12"/>
      <c r="U313" s="12"/>
      <c r="V313" s="12"/>
      <c r="W313" s="12"/>
      <c r="X313" s="12"/>
      <c r="Y313" s="12"/>
      <c r="Z313" s="12"/>
      <c r="AA313" s="12"/>
    </row>
    <row r="314" spans="1:29" x14ac:dyDescent="0.2">
      <c r="A314" s="1" t="s">
        <v>150</v>
      </c>
      <c r="B314" s="103">
        <f>IF(AND('AES Indiana Bill Calc.'!$D$17="SE",'AES Indiana Bill Calc.'!$D$18="Yes 25%",'AES Indiana Bill Calc.'!$D$20="No"),'AES Indiana Bill Calc.'!$D$19,-1)</f>
        <v>-1</v>
      </c>
      <c r="C314" s="103" t="b">
        <f>IF(AND('AES Indiana Bill Calc.'!$D$17="SE",'AES Indiana Bill Calc.'!$D$18="Yes 25%",'AES Indiana Bill Calc.'!$D$20="No"),'AES Indiana Bill Calc.'!$D$23)</f>
        <v>0</v>
      </c>
      <c r="D314" s="2">
        <f>ROUND(C314*D$305,0)</f>
        <v>0</v>
      </c>
      <c r="F314" s="36" t="s">
        <v>57</v>
      </c>
      <c r="G314" s="17">
        <f>SUM(J314:M314,O314:P314,R314:AA314)</f>
        <v>54.99</v>
      </c>
      <c r="H314" s="19" t="e">
        <f>IF(ISBLANK(B314),0,+#REF!/B314)</f>
        <v>#REF!</v>
      </c>
      <c r="I314" s="19"/>
      <c r="J314" s="16">
        <f>IF(ISBLANK(B314),0,+J$305)</f>
        <v>55</v>
      </c>
      <c r="K314" s="16">
        <f>ROUND(K313*K$305,2)</f>
        <v>0</v>
      </c>
      <c r="L314" s="16">
        <f>ROUND(L313*L$305,2)</f>
        <v>0</v>
      </c>
      <c r="M314" s="16">
        <f>ROUND(M313*M$305,2)</f>
        <v>0</v>
      </c>
      <c r="N314" s="16">
        <f>SUM(K314:M314)</f>
        <v>0</v>
      </c>
      <c r="O314" s="16"/>
      <c r="P314" s="16"/>
      <c r="Q314" s="16"/>
      <c r="R314" s="8"/>
      <c r="S314" s="17">
        <f>ROUND($B314*S$305*S313,2)</f>
        <v>0</v>
      </c>
      <c r="T314" s="17">
        <f t="shared" ref="T314:AA314" si="25">ROUND($B314*T$305,2)</f>
        <v>0</v>
      </c>
      <c r="U314" s="17">
        <f t="shared" si="25"/>
        <v>0</v>
      </c>
      <c r="V314" s="17">
        <f t="shared" si="25"/>
        <v>-0.01</v>
      </c>
      <c r="W314" s="17">
        <f t="shared" si="25"/>
        <v>0</v>
      </c>
      <c r="X314" s="17">
        <f t="shared" si="25"/>
        <v>0</v>
      </c>
      <c r="Y314" s="17">
        <f t="shared" si="25"/>
        <v>0</v>
      </c>
      <c r="Z314" s="17">
        <f t="shared" si="25"/>
        <v>0</v>
      </c>
      <c r="AA314" s="17">
        <f t="shared" si="25"/>
        <v>0</v>
      </c>
      <c r="AB314" s="19">
        <f>SUM(U309:AA309)</f>
        <v>0</v>
      </c>
      <c r="AC314" s="67" t="str">
        <f>+F314</f>
        <v>SE</v>
      </c>
    </row>
    <row r="315" spans="1:29" x14ac:dyDescent="0.2">
      <c r="A315" s="9"/>
      <c r="B315" s="103">
        <v>-1</v>
      </c>
      <c r="C315" s="34"/>
      <c r="F315" s="12"/>
      <c r="G315" s="12"/>
      <c r="H315" s="12"/>
      <c r="I315" s="19"/>
      <c r="J315" s="12"/>
      <c r="K315" s="35">
        <f>IF(D316&gt;K$306,+K$306,D316)</f>
        <v>0</v>
      </c>
      <c r="L315" s="35">
        <f>IF(D316&gt;K315,+D316-K315,0)</f>
        <v>0</v>
      </c>
      <c r="M315" s="34">
        <f>IF(B316&gt;D316,+B316-D316,0)</f>
        <v>0</v>
      </c>
      <c r="N315" s="34"/>
      <c r="O315" s="34"/>
      <c r="P315" s="34"/>
      <c r="Q315" s="34"/>
      <c r="R315" s="12"/>
      <c r="S315" s="50">
        <v>0.1</v>
      </c>
      <c r="T315" s="12"/>
      <c r="U315" s="12"/>
      <c r="V315" s="12"/>
      <c r="W315" s="12"/>
      <c r="X315" s="12"/>
      <c r="Y315" s="12"/>
      <c r="Z315" s="12"/>
      <c r="AA315" s="12"/>
    </row>
    <row r="316" spans="1:29" x14ac:dyDescent="0.2">
      <c r="A316" s="1" t="s">
        <v>164</v>
      </c>
      <c r="B316" s="103">
        <f>IF(AND('AES Indiana Bill Calc.'!$D$17="SE",'AES Indiana Bill Calc.'!$D$18="Yes 10%",'AES Indiana Bill Calc.'!$D$20="No"),'AES Indiana Bill Calc.'!$D$19,-1)</f>
        <v>-1</v>
      </c>
      <c r="C316" s="103" t="b">
        <f>IF(AND('AES Indiana Bill Calc.'!$D$17="SE",'AES Indiana Bill Calc.'!$D$18="Yes 10%",'AES Indiana Bill Calc.'!$D$20="No"),'AES Indiana Bill Calc.'!$D$23)</f>
        <v>0</v>
      </c>
      <c r="D316" s="2">
        <f>ROUND(C316*D$305,0)</f>
        <v>0</v>
      </c>
      <c r="F316" s="36" t="s">
        <v>57</v>
      </c>
      <c r="G316" s="17">
        <f>SUM(J316:M316,O316:P316,R316:AA316)</f>
        <v>54.99</v>
      </c>
      <c r="H316" s="19" t="e">
        <f>IF(ISBLANK(B316),0,+#REF!/B316)</f>
        <v>#REF!</v>
      </c>
      <c r="I316" s="19"/>
      <c r="J316" s="16">
        <f>IF(ISBLANK(B316),0,+J$305)</f>
        <v>55</v>
      </c>
      <c r="K316" s="16">
        <f>ROUND(K315*K$305,2)</f>
        <v>0</v>
      </c>
      <c r="L316" s="16">
        <f>ROUND(L315*L$305,2)</f>
        <v>0</v>
      </c>
      <c r="M316" s="16">
        <f>ROUND(M315*M$305,2)</f>
        <v>0</v>
      </c>
      <c r="N316" s="16">
        <f>SUM(K316:M316)</f>
        <v>0</v>
      </c>
      <c r="O316" s="16"/>
      <c r="P316" s="16"/>
      <c r="Q316" s="16"/>
      <c r="R316" s="8"/>
      <c r="S316" s="17">
        <f>ROUND($B316*S$305*S315,2)</f>
        <v>0</v>
      </c>
      <c r="T316" s="17">
        <f t="shared" ref="T316:AA316" si="26">ROUND($B316*T$305,2)</f>
        <v>0</v>
      </c>
      <c r="U316" s="17">
        <f t="shared" si="26"/>
        <v>0</v>
      </c>
      <c r="V316" s="17">
        <f t="shared" si="26"/>
        <v>-0.01</v>
      </c>
      <c r="W316" s="17">
        <f t="shared" si="26"/>
        <v>0</v>
      </c>
      <c r="X316" s="17">
        <f t="shared" si="26"/>
        <v>0</v>
      </c>
      <c r="Y316" s="17">
        <f t="shared" si="26"/>
        <v>0</v>
      </c>
      <c r="Z316" s="17">
        <f t="shared" si="26"/>
        <v>0</v>
      </c>
      <c r="AA316" s="17">
        <f t="shared" si="26"/>
        <v>0</v>
      </c>
      <c r="AB316" s="19">
        <f>SUM(U311:AA311)</f>
        <v>0</v>
      </c>
      <c r="AC316" s="67" t="str">
        <f>+F316</f>
        <v>SE</v>
      </c>
    </row>
    <row r="317" spans="1:29" x14ac:dyDescent="0.2">
      <c r="A317" s="9"/>
      <c r="B317" s="103">
        <v>-1</v>
      </c>
      <c r="C317" s="34"/>
      <c r="F317" s="12"/>
      <c r="G317" s="12"/>
      <c r="H317" s="12"/>
      <c r="I317" s="19"/>
      <c r="J317" s="12"/>
      <c r="K317" s="35">
        <f>IF(D318&gt;K$306,+K$306,D318)</f>
        <v>0</v>
      </c>
      <c r="L317" s="35">
        <f>IF(D318&gt;K317,+D318-K317,0)</f>
        <v>0</v>
      </c>
      <c r="M317" s="34">
        <f>IF(B318&gt;D318,+B318-D318,0)</f>
        <v>0</v>
      </c>
      <c r="N317" s="34"/>
      <c r="O317" s="34"/>
      <c r="P317" s="34"/>
      <c r="Q317" s="34"/>
      <c r="R317" s="12"/>
      <c r="S317" s="50">
        <v>0</v>
      </c>
      <c r="T317" s="12"/>
      <c r="U317" s="12"/>
      <c r="V317" s="12"/>
      <c r="W317" s="12"/>
      <c r="X317" s="12"/>
      <c r="Y317" s="12"/>
      <c r="Z317" s="12"/>
      <c r="AA317" s="12"/>
    </row>
    <row r="318" spans="1:29" x14ac:dyDescent="0.2">
      <c r="A318" s="1" t="s">
        <v>147</v>
      </c>
      <c r="B318" s="103">
        <f>IF(AND('AES Indiana Bill Calc.'!$D$17="SE",'AES Indiana Bill Calc.'!$D$18="No",'AES Indiana Bill Calc.'!$D$20="No"),'AES Indiana Bill Calc.'!$D$19,-1)</f>
        <v>-1</v>
      </c>
      <c r="C318" s="103" t="b">
        <f>IF(AND('AES Indiana Bill Calc.'!$D$17="SE",'AES Indiana Bill Calc.'!$D$18="No",'AES Indiana Bill Calc.'!$D$20="No"),'AES Indiana Bill Calc.'!$D$23)</f>
        <v>0</v>
      </c>
      <c r="D318" s="2">
        <f>ROUND(C318*D$305,0)</f>
        <v>0</v>
      </c>
      <c r="F318" s="36" t="s">
        <v>57</v>
      </c>
      <c r="G318" s="17">
        <f>SUM(J318:M318,O318:P318,R318:AA318)</f>
        <v>54.99</v>
      </c>
      <c r="H318" s="19" t="e">
        <f>IF(ISBLANK(B318),0,+#REF!/B318)</f>
        <v>#REF!</v>
      </c>
      <c r="I318" s="19"/>
      <c r="J318" s="16">
        <f>IF(ISBLANK(B318),0,+J$305)</f>
        <v>55</v>
      </c>
      <c r="K318" s="16">
        <f>ROUND(K317*K$305,2)</f>
        <v>0</v>
      </c>
      <c r="L318" s="16">
        <f>ROUND(L317*L$305,2)</f>
        <v>0</v>
      </c>
      <c r="M318" s="16">
        <f>ROUND(M317*M$305,2)</f>
        <v>0</v>
      </c>
      <c r="N318" s="16">
        <f>SUM(K318:M318)</f>
        <v>0</v>
      </c>
      <c r="O318" s="16"/>
      <c r="P318" s="16"/>
      <c r="Q318" s="16"/>
      <c r="R318" s="8"/>
      <c r="S318" s="17">
        <f>ROUND($B318*S$305*S317,2)</f>
        <v>0</v>
      </c>
      <c r="T318" s="17">
        <f t="shared" ref="T318:AA318" si="27">ROUND($B318*T$305,2)</f>
        <v>0</v>
      </c>
      <c r="U318" s="17">
        <f t="shared" si="27"/>
        <v>0</v>
      </c>
      <c r="V318" s="17">
        <f t="shared" si="27"/>
        <v>-0.01</v>
      </c>
      <c r="W318" s="17">
        <f t="shared" si="27"/>
        <v>0</v>
      </c>
      <c r="X318" s="17">
        <f t="shared" si="27"/>
        <v>0</v>
      </c>
      <c r="Y318" s="17">
        <f t="shared" si="27"/>
        <v>0</v>
      </c>
      <c r="Z318" s="17">
        <f t="shared" si="27"/>
        <v>0</v>
      </c>
      <c r="AA318" s="17">
        <f t="shared" si="27"/>
        <v>0</v>
      </c>
      <c r="AB318" s="19">
        <f>SUM(U313:AA313)</f>
        <v>0</v>
      </c>
      <c r="AC318" s="67" t="str">
        <f>+F318</f>
        <v>SE</v>
      </c>
    </row>
    <row r="319" spans="1:29" x14ac:dyDescent="0.2">
      <c r="B319" s="103">
        <v>-1</v>
      </c>
      <c r="C319" s="34"/>
      <c r="F319" s="12"/>
      <c r="G319" s="12"/>
      <c r="H319" s="12"/>
      <c r="I319" s="19"/>
      <c r="J319" s="12"/>
      <c r="K319" s="35">
        <f>IF(D320&gt;K$306,+K$306,D320)</f>
        <v>0</v>
      </c>
      <c r="L319" s="35">
        <f>IF(D320&gt;K319,+D320-K319,0)</f>
        <v>0</v>
      </c>
      <c r="M319" s="34">
        <f>IF(B320&gt;D320,+B320-D320,0)</f>
        <v>0</v>
      </c>
      <c r="N319" s="34"/>
      <c r="O319" s="34"/>
      <c r="P319" s="34"/>
      <c r="Q319" s="34"/>
      <c r="R319" s="12"/>
      <c r="S319" s="50">
        <v>1</v>
      </c>
      <c r="T319" s="12"/>
      <c r="U319" s="12"/>
      <c r="V319" s="12"/>
      <c r="W319" s="12"/>
      <c r="X319" s="12"/>
      <c r="Y319" s="12"/>
      <c r="Z319" s="12"/>
      <c r="AA319" s="12"/>
    </row>
    <row r="320" spans="1:29" x14ac:dyDescent="0.2">
      <c r="A320" s="1" t="s">
        <v>148</v>
      </c>
      <c r="B320" s="103">
        <f>IF(AND('AES Indiana Bill Calc.'!$D$17="SE",'AES Indiana Bill Calc.'!$D$18="Yes 100%",'AES Indiana Bill Calc.'!$D$20="Yes Before 2018"),'AES Indiana Bill Calc.'!$D$19,-1)</f>
        <v>-1</v>
      </c>
      <c r="C320" s="103" t="b">
        <f>IF(AND('AES Indiana Bill Calc.'!$D$17="SE",'AES Indiana Bill Calc.'!$D$18="Yes 100%",'AES Indiana Bill Calc.'!$D$20="Yes Before 2018"),'AES Indiana Bill Calc.'!$D$23)</f>
        <v>0</v>
      </c>
      <c r="D320" s="2">
        <f>ROUND(C320*D$305,0)</f>
        <v>0</v>
      </c>
      <c r="F320" s="36" t="s">
        <v>185</v>
      </c>
      <c r="G320" s="17">
        <f>SUM(J320:M320,O320:P320,R320:AA320)</f>
        <v>55</v>
      </c>
      <c r="H320" s="19" t="e">
        <f>IF(ISBLANK(B320),0,+#REF!/B320)</f>
        <v>#REF!</v>
      </c>
      <c r="I320" s="19"/>
      <c r="J320" s="16">
        <f>IF(ISBLANK(B320),0,+J$305)</f>
        <v>55</v>
      </c>
      <c r="K320" s="16">
        <f>ROUND(K319*K$305,2)</f>
        <v>0</v>
      </c>
      <c r="L320" s="16">
        <f>ROUND(L319*L$305,2)</f>
        <v>0</v>
      </c>
      <c r="M320" s="16">
        <f>ROUND(M319*M$305,2)</f>
        <v>0</v>
      </c>
      <c r="N320" s="16">
        <f>SUM(K320:M320)</f>
        <v>0</v>
      </c>
      <c r="O320" s="16"/>
      <c r="P320" s="16"/>
      <c r="Q320" s="16"/>
      <c r="R320" s="8"/>
      <c r="S320" s="17">
        <f>ROUND($B320*S$305*S319,2)</f>
        <v>0</v>
      </c>
      <c r="T320" s="17">
        <f>ROUND($B320*T$305,2)</f>
        <v>0</v>
      </c>
      <c r="U320" s="17">
        <f>ROUND($B320*U$305,2)</f>
        <v>0</v>
      </c>
      <c r="V320" s="17">
        <f>ROUND($B320*V$297,2)</f>
        <v>0</v>
      </c>
      <c r="W320" s="17">
        <f>ROUND($B320*W$305,2)</f>
        <v>0</v>
      </c>
      <c r="X320" s="17">
        <f>ROUND($B320*X$305,2)</f>
        <v>0</v>
      </c>
      <c r="Y320" s="17">
        <f>ROUND($B320*Y$305,2)</f>
        <v>0</v>
      </c>
      <c r="Z320" s="17">
        <f>ROUND($B320*Z$305,2)</f>
        <v>0</v>
      </c>
      <c r="AA320" s="17">
        <f>ROUND($B320*AA$305,2)</f>
        <v>0</v>
      </c>
      <c r="AB320" s="19">
        <f>SUM(U315:AA315)</f>
        <v>0</v>
      </c>
      <c r="AC320" s="67" t="str">
        <f>+F320</f>
        <v>SE7</v>
      </c>
    </row>
    <row r="321" spans="1:29" x14ac:dyDescent="0.2">
      <c r="A321" s="9"/>
      <c r="B321" s="103">
        <v>-1</v>
      </c>
      <c r="C321" s="34"/>
      <c r="F321" s="12"/>
      <c r="G321" s="12"/>
      <c r="H321" s="12"/>
      <c r="I321" s="19"/>
      <c r="J321" s="12"/>
      <c r="K321" s="35">
        <f>IF(D322&gt;K$306,+K$306,D322)</f>
        <v>0</v>
      </c>
      <c r="L321" s="35">
        <f>IF(D322&gt;K321,+D322-K321,0)</f>
        <v>0</v>
      </c>
      <c r="M321" s="34">
        <f>IF(B322&gt;D322,+B322-D322,0)</f>
        <v>0</v>
      </c>
      <c r="N321" s="34"/>
      <c r="O321" s="34"/>
      <c r="P321" s="34"/>
      <c r="Q321" s="34"/>
      <c r="R321" s="12"/>
      <c r="S321" s="50">
        <v>0.5</v>
      </c>
      <c r="T321" s="12"/>
      <c r="U321" s="12"/>
      <c r="V321" s="12"/>
      <c r="W321" s="12"/>
      <c r="X321" s="12"/>
      <c r="Y321" s="12"/>
      <c r="Z321" s="12"/>
      <c r="AA321" s="12"/>
    </row>
    <row r="322" spans="1:29" x14ac:dyDescent="0.2">
      <c r="A322" s="1" t="s">
        <v>149</v>
      </c>
      <c r="B322" s="103">
        <f>IF(AND('AES Indiana Bill Calc.'!$D$17="SE",'AES Indiana Bill Calc.'!$D$18="Yes 50%",'AES Indiana Bill Calc.'!$D$20="Yes Before 2018"),'AES Indiana Bill Calc.'!$D$19,-1)</f>
        <v>-1</v>
      </c>
      <c r="C322" s="103" t="b">
        <f>IF(AND('AES Indiana Bill Calc.'!$D$17="SE",'AES Indiana Bill Calc.'!$D$18="Yes 50%",'AES Indiana Bill Calc.'!$D$20="Yes Before 2018"),'AES Indiana Bill Calc.'!$D$23)</f>
        <v>0</v>
      </c>
      <c r="D322" s="2">
        <f>ROUND(C322*D$305,0)</f>
        <v>0</v>
      </c>
      <c r="F322" s="36" t="s">
        <v>185</v>
      </c>
      <c r="G322" s="17">
        <f>SUM(J322:M322,O322:P322,R322:AA322)</f>
        <v>55</v>
      </c>
      <c r="H322" s="19" t="e">
        <f>IF(ISBLANK(B322),0,+#REF!/B322)</f>
        <v>#REF!</v>
      </c>
      <c r="I322" s="19"/>
      <c r="J322" s="16">
        <f>IF(ISBLANK(B322),0,+J$305)</f>
        <v>55</v>
      </c>
      <c r="K322" s="16">
        <f>ROUND(K321*K$305,2)</f>
        <v>0</v>
      </c>
      <c r="L322" s="16">
        <f>ROUND(L321*L$305,2)</f>
        <v>0</v>
      </c>
      <c r="M322" s="16">
        <f>ROUND(M321*M$305,2)</f>
        <v>0</v>
      </c>
      <c r="N322" s="16">
        <f>SUM(K322:M322)</f>
        <v>0</v>
      </c>
      <c r="O322" s="16"/>
      <c r="P322" s="16"/>
      <c r="Q322" s="16"/>
      <c r="R322" s="8"/>
      <c r="S322" s="17">
        <f>ROUND($B322*S$305*S321,2)</f>
        <v>0</v>
      </c>
      <c r="T322" s="17">
        <f>ROUND($B322*T$305,2)</f>
        <v>0</v>
      </c>
      <c r="U322" s="17">
        <f>ROUND($B322*U$305,2)</f>
        <v>0</v>
      </c>
      <c r="V322" s="17">
        <f>ROUND($B322*V$297,2)</f>
        <v>0</v>
      </c>
      <c r="W322" s="17">
        <f>ROUND($B322*W$305,2)</f>
        <v>0</v>
      </c>
      <c r="X322" s="17">
        <f>ROUND($B322*X$305,2)</f>
        <v>0</v>
      </c>
      <c r="Y322" s="17">
        <f>ROUND($B322*Y$305,2)</f>
        <v>0</v>
      </c>
      <c r="Z322" s="17">
        <f>ROUND($B322*Z$305,2)</f>
        <v>0</v>
      </c>
      <c r="AA322" s="17">
        <f>ROUND($B322*AA$305,2)</f>
        <v>0</v>
      </c>
      <c r="AB322" s="19">
        <f>SUM(U317:AA317)</f>
        <v>0</v>
      </c>
      <c r="AC322" s="67" t="str">
        <f>+F322</f>
        <v>SE7</v>
      </c>
    </row>
    <row r="323" spans="1:29" x14ac:dyDescent="0.2">
      <c r="A323" s="9"/>
      <c r="B323" s="103">
        <v>-1</v>
      </c>
      <c r="C323" s="34"/>
      <c r="F323" s="12"/>
      <c r="G323" s="12"/>
      <c r="H323" s="12"/>
      <c r="I323" s="19"/>
      <c r="J323" s="12"/>
      <c r="K323" s="35">
        <f>IF(D324&gt;K$306,+K$306,D324)</f>
        <v>0</v>
      </c>
      <c r="L323" s="35">
        <f>IF(D324&gt;K323,+D324-K323,0)</f>
        <v>0</v>
      </c>
      <c r="M323" s="34">
        <f>IF(B324&gt;D324,+B324-D324,0)</f>
        <v>0</v>
      </c>
      <c r="N323" s="34"/>
      <c r="O323" s="34"/>
      <c r="P323" s="34"/>
      <c r="Q323" s="34"/>
      <c r="R323" s="12"/>
      <c r="S323" s="50">
        <v>0.25</v>
      </c>
      <c r="T323" s="12"/>
      <c r="U323" s="12"/>
      <c r="V323" s="12"/>
      <c r="W323" s="12"/>
      <c r="X323" s="12"/>
      <c r="Y323" s="12"/>
      <c r="Z323" s="12"/>
      <c r="AA323" s="12"/>
    </row>
    <row r="324" spans="1:29" x14ac:dyDescent="0.2">
      <c r="A324" s="1" t="s">
        <v>150</v>
      </c>
      <c r="B324" s="103">
        <f>IF(AND('AES Indiana Bill Calc.'!$D$17="SE",'AES Indiana Bill Calc.'!$D$18="Yes 25%",'AES Indiana Bill Calc.'!$D$20="Yes Before 2018"),'AES Indiana Bill Calc.'!$D$19,-1)</f>
        <v>-1</v>
      </c>
      <c r="C324" s="103" t="b">
        <f>IF(AND('AES Indiana Bill Calc.'!$D$17="SE",'AES Indiana Bill Calc.'!$D$18="Yes 25%",'AES Indiana Bill Calc.'!$D$20="Yes Before 2018"),'AES Indiana Bill Calc.'!$D$23)</f>
        <v>0</v>
      </c>
      <c r="D324" s="2">
        <f>ROUND(C324*D$305,0)</f>
        <v>0</v>
      </c>
      <c r="F324" s="36" t="s">
        <v>185</v>
      </c>
      <c r="G324" s="17">
        <f>SUM(J324:M324,O324:P324,R324:AA324)</f>
        <v>55</v>
      </c>
      <c r="H324" s="19" t="e">
        <f>IF(ISBLANK(B324),0,+#REF!/B324)</f>
        <v>#REF!</v>
      </c>
      <c r="I324" s="19"/>
      <c r="J324" s="16">
        <f>IF(ISBLANK(B324),0,+J$305)</f>
        <v>55</v>
      </c>
      <c r="K324" s="16">
        <f>ROUND(K323*K$305,2)</f>
        <v>0</v>
      </c>
      <c r="L324" s="16">
        <f>ROUND(L323*L$305,2)</f>
        <v>0</v>
      </c>
      <c r="M324" s="16">
        <f>ROUND(M323*M$305,2)</f>
        <v>0</v>
      </c>
      <c r="N324" s="16">
        <f>SUM(K324:M324)</f>
        <v>0</v>
      </c>
      <c r="O324" s="16"/>
      <c r="P324" s="16"/>
      <c r="Q324" s="16"/>
      <c r="R324" s="8"/>
      <c r="S324" s="17">
        <f>ROUND($B324*S$305*S323,2)</f>
        <v>0</v>
      </c>
      <c r="T324" s="17">
        <f>ROUND($B324*T$305,2)</f>
        <v>0</v>
      </c>
      <c r="U324" s="17">
        <f>ROUND($B324*U$305,2)</f>
        <v>0</v>
      </c>
      <c r="V324" s="17">
        <f>ROUND($B324*V$297,2)</f>
        <v>0</v>
      </c>
      <c r="W324" s="17">
        <f>ROUND($B324*W$305,2)</f>
        <v>0</v>
      </c>
      <c r="X324" s="17">
        <f>ROUND($B324*X$305,2)</f>
        <v>0</v>
      </c>
      <c r="Y324" s="17">
        <f>ROUND($B324*Y$305,2)</f>
        <v>0</v>
      </c>
      <c r="Z324" s="17">
        <f>ROUND($B324*Z$305,2)</f>
        <v>0</v>
      </c>
      <c r="AA324" s="17">
        <f>ROUND($B324*AA$305,2)</f>
        <v>0</v>
      </c>
      <c r="AB324" s="19">
        <f>SUM(U319:AA319)</f>
        <v>0</v>
      </c>
      <c r="AC324" s="67" t="str">
        <f>+F324</f>
        <v>SE7</v>
      </c>
    </row>
    <row r="325" spans="1:29" x14ac:dyDescent="0.2">
      <c r="A325" s="9"/>
      <c r="B325" s="103">
        <v>-1</v>
      </c>
      <c r="C325" s="34"/>
      <c r="F325" s="12"/>
      <c r="G325" s="12"/>
      <c r="H325" s="12"/>
      <c r="I325" s="19"/>
      <c r="J325" s="12"/>
      <c r="K325" s="35">
        <f>IF(D326&gt;K$306,+K$306,D326)</f>
        <v>0</v>
      </c>
      <c r="L325" s="35">
        <f>IF(D326&gt;K325,+D326-K325,0)</f>
        <v>0</v>
      </c>
      <c r="M325" s="34">
        <f>IF(B326&gt;D326,+B326-D326,0)</f>
        <v>0</v>
      </c>
      <c r="N325" s="34"/>
      <c r="O325" s="34"/>
      <c r="P325" s="34"/>
      <c r="Q325" s="34"/>
      <c r="R325" s="12"/>
      <c r="S325" s="50">
        <v>0.1</v>
      </c>
      <c r="T325" s="12"/>
      <c r="U325" s="12"/>
      <c r="V325" s="12"/>
      <c r="W325" s="12"/>
      <c r="X325" s="12"/>
      <c r="Y325" s="12"/>
      <c r="Z325" s="12"/>
      <c r="AA325" s="12"/>
    </row>
    <row r="326" spans="1:29" x14ac:dyDescent="0.2">
      <c r="A326" s="1" t="s">
        <v>164</v>
      </c>
      <c r="B326" s="103">
        <f>IF(AND('AES Indiana Bill Calc.'!$D$17="SE",'AES Indiana Bill Calc.'!$D$18="Yes 10%",'AES Indiana Bill Calc.'!$D$20="Yes Before 2018"),'AES Indiana Bill Calc.'!$D$19,-1)</f>
        <v>-1</v>
      </c>
      <c r="C326" s="103" t="b">
        <f>IF(AND('AES Indiana Bill Calc.'!$D$17="SE",'AES Indiana Bill Calc.'!$D$18="Yes 10%",'AES Indiana Bill Calc.'!$D$20="Yes Before 2018"),'AES Indiana Bill Calc.'!$D$23)</f>
        <v>0</v>
      </c>
      <c r="D326" s="2">
        <f>ROUND(C326*D$305,0)</f>
        <v>0</v>
      </c>
      <c r="F326" s="36" t="s">
        <v>185</v>
      </c>
      <c r="G326" s="17">
        <f>SUM(J326:M326,O326:P326,R326:AA326)</f>
        <v>55</v>
      </c>
      <c r="H326" s="19" t="e">
        <f>IF(ISBLANK(B326),0,+#REF!/B326)</f>
        <v>#REF!</v>
      </c>
      <c r="I326" s="19"/>
      <c r="J326" s="16">
        <f>IF(ISBLANK(B326),0,+J$305)</f>
        <v>55</v>
      </c>
      <c r="K326" s="16">
        <f>ROUND(K325*K$305,2)</f>
        <v>0</v>
      </c>
      <c r="L326" s="16">
        <f>ROUND(L325*L$305,2)</f>
        <v>0</v>
      </c>
      <c r="M326" s="16">
        <f>ROUND(M325*M$305,2)</f>
        <v>0</v>
      </c>
      <c r="N326" s="16">
        <f>SUM(K326:M326)</f>
        <v>0</v>
      </c>
      <c r="O326" s="16"/>
      <c r="P326" s="16"/>
      <c r="Q326" s="16"/>
      <c r="R326" s="8"/>
      <c r="S326" s="17">
        <f>ROUND($B326*S$305*S325,2)</f>
        <v>0</v>
      </c>
      <c r="T326" s="17">
        <f>ROUND($B326*T$305,2)</f>
        <v>0</v>
      </c>
      <c r="U326" s="17">
        <f>ROUND($B326*U$305,2)</f>
        <v>0</v>
      </c>
      <c r="V326" s="17">
        <f>ROUND($B326*V$297,2)</f>
        <v>0</v>
      </c>
      <c r="W326" s="17">
        <f>ROUND($B326*W$305,2)</f>
        <v>0</v>
      </c>
      <c r="X326" s="17">
        <f>ROUND($B326*X$305,2)</f>
        <v>0</v>
      </c>
      <c r="Y326" s="17">
        <f>ROUND($B326*Y$305,2)</f>
        <v>0</v>
      </c>
      <c r="Z326" s="17">
        <f>ROUND($B326*Z$305,2)</f>
        <v>0</v>
      </c>
      <c r="AA326" s="17">
        <f>ROUND($B326*AA$305,2)</f>
        <v>0</v>
      </c>
      <c r="AB326" s="19">
        <f>SUM(U321:AA321)</f>
        <v>0</v>
      </c>
      <c r="AC326" s="67" t="str">
        <f>+F326</f>
        <v>SE7</v>
      </c>
    </row>
    <row r="327" spans="1:29" x14ac:dyDescent="0.2">
      <c r="A327" s="9"/>
      <c r="B327" s="103">
        <v>-1</v>
      </c>
      <c r="C327" s="34"/>
      <c r="F327" s="12"/>
      <c r="G327" s="12"/>
      <c r="H327" s="12"/>
      <c r="I327" s="19"/>
      <c r="J327" s="12"/>
      <c r="K327" s="35">
        <f>IF(D328&gt;K$306,+K$306,D328)</f>
        <v>0</v>
      </c>
      <c r="L327" s="35">
        <f>IF(D328&gt;K327,+D328-K327,0)</f>
        <v>0</v>
      </c>
      <c r="M327" s="34">
        <f>IF(B328&gt;D328,+B328-D328,0)</f>
        <v>0</v>
      </c>
      <c r="N327" s="34"/>
      <c r="O327" s="34"/>
      <c r="P327" s="34"/>
      <c r="Q327" s="34"/>
      <c r="R327" s="12"/>
      <c r="S327" s="50">
        <v>0</v>
      </c>
      <c r="T327" s="12"/>
      <c r="U327" s="12"/>
      <c r="V327" s="12"/>
      <c r="W327" s="12"/>
      <c r="X327" s="12"/>
      <c r="Y327" s="12"/>
      <c r="Z327" s="12"/>
      <c r="AA327" s="12"/>
    </row>
    <row r="328" spans="1:29" x14ac:dyDescent="0.2">
      <c r="A328" s="1" t="s">
        <v>147</v>
      </c>
      <c r="B328" s="103">
        <f>IF(AND('AES Indiana Bill Calc.'!$D$17="SE",'AES Indiana Bill Calc.'!$D$18="No",'AES Indiana Bill Calc.'!$D$20="Yes Before 2018"),'AES Indiana Bill Calc.'!$D$19,-1)</f>
        <v>-1</v>
      </c>
      <c r="C328" s="103" t="b">
        <f>IF(AND('AES Indiana Bill Calc.'!$D$17="SE",'AES Indiana Bill Calc.'!$D$18="No",'AES Indiana Bill Calc.'!$D$20="Yes Before 2018"),'AES Indiana Bill Calc.'!$D$23)</f>
        <v>0</v>
      </c>
      <c r="D328" s="2">
        <f>ROUND(C328*D$305,0)</f>
        <v>0</v>
      </c>
      <c r="F328" s="36" t="s">
        <v>185</v>
      </c>
      <c r="G328" s="17">
        <f>SUM(J328:M328,O328:P328,R328:AA328)</f>
        <v>55</v>
      </c>
      <c r="H328" s="19" t="e">
        <f>IF(ISBLANK(B328),0,+#REF!/B328)</f>
        <v>#REF!</v>
      </c>
      <c r="I328" s="19"/>
      <c r="J328" s="16">
        <f>IF(ISBLANK(B328),0,+J$305)</f>
        <v>55</v>
      </c>
      <c r="K328" s="16">
        <f>ROUND(K327*K$305,2)</f>
        <v>0</v>
      </c>
      <c r="L328" s="16">
        <f>ROUND(L327*L$305,2)</f>
        <v>0</v>
      </c>
      <c r="M328" s="16">
        <f>ROUND(M327*M$305,2)</f>
        <v>0</v>
      </c>
      <c r="N328" s="16">
        <f>SUM(K328:M328)</f>
        <v>0</v>
      </c>
      <c r="O328" s="16"/>
      <c r="P328" s="16"/>
      <c r="Q328" s="16"/>
      <c r="R328" s="8"/>
      <c r="S328" s="17">
        <f>ROUND($B328*S$305*S327,2)</f>
        <v>0</v>
      </c>
      <c r="T328" s="17">
        <f>ROUND($B328*T$305,2)</f>
        <v>0</v>
      </c>
      <c r="U328" s="17">
        <f>ROUND($B328*U$305,2)</f>
        <v>0</v>
      </c>
      <c r="V328" s="17">
        <f>ROUND($B328*V$297,2)</f>
        <v>0</v>
      </c>
      <c r="W328" s="17">
        <f>ROUND($B328*W$305,2)</f>
        <v>0</v>
      </c>
      <c r="X328" s="17">
        <f>ROUND($B328*X$305,2)</f>
        <v>0</v>
      </c>
      <c r="Y328" s="17">
        <f>ROUND($B328*Y$305,2)</f>
        <v>0</v>
      </c>
      <c r="Z328" s="17">
        <f>ROUND($B328*Z$305,2)</f>
        <v>0</v>
      </c>
      <c r="AA328" s="17">
        <f>ROUND($B328*AA$305,2)</f>
        <v>0</v>
      </c>
      <c r="AB328" s="19">
        <f>SUM(U323:AA323)</f>
        <v>0</v>
      </c>
      <c r="AC328" s="67" t="str">
        <f>+F328</f>
        <v>SE7</v>
      </c>
    </row>
    <row r="329" spans="1:29" x14ac:dyDescent="0.2">
      <c r="B329" s="103">
        <v>-1</v>
      </c>
      <c r="C329" s="34"/>
      <c r="F329" s="12"/>
      <c r="G329" s="12"/>
      <c r="H329" s="12"/>
      <c r="I329" s="19"/>
      <c r="J329" s="12"/>
      <c r="K329" s="35">
        <f>IF(D330&gt;K$306,+K$306,D330)</f>
        <v>0</v>
      </c>
      <c r="L329" s="35">
        <f>IF(D330&gt;K329,+D330-K329,0)</f>
        <v>0</v>
      </c>
      <c r="M329" s="34">
        <f>IF(B330&gt;D330,+B330-D330,0)</f>
        <v>0</v>
      </c>
      <c r="N329" s="34"/>
      <c r="O329" s="34"/>
      <c r="P329" s="34"/>
      <c r="Q329" s="34"/>
      <c r="R329" s="12"/>
      <c r="S329" s="50">
        <v>1</v>
      </c>
      <c r="T329" s="12"/>
      <c r="U329" s="12"/>
      <c r="V329" s="12"/>
      <c r="W329" s="12"/>
      <c r="X329" s="12"/>
      <c r="Y329" s="12"/>
      <c r="Z329" s="12"/>
      <c r="AA329" s="12"/>
    </row>
    <row r="330" spans="1:29" x14ac:dyDescent="0.2">
      <c r="A330" s="1" t="s">
        <v>148</v>
      </c>
      <c r="B330" s="103">
        <f>IF(AND('AES Indiana Bill Calc.'!$D$17="SE",'AES Indiana Bill Calc.'!$D$18="Yes 100%",'AES Indiana Bill Calc.'!$D$20="Yes 2018"),'AES Indiana Bill Calc.'!$D$19,-1)</f>
        <v>-1</v>
      </c>
      <c r="C330" s="103" t="b">
        <f>IF(AND('AES Indiana Bill Calc.'!$D$17="SE",'AES Indiana Bill Calc.'!$D$18="Yes 100%",'AES Indiana Bill Calc.'!$D$20="Yes 2018"),'AES Indiana Bill Calc.'!$D$23)</f>
        <v>0</v>
      </c>
      <c r="D330" s="2">
        <f>ROUND(C330*D$305,0)</f>
        <v>0</v>
      </c>
      <c r="F330" s="36" t="s">
        <v>186</v>
      </c>
      <c r="G330" s="17">
        <f>SUM(J330:M330,O330:P330,R330:AA330)</f>
        <v>55</v>
      </c>
      <c r="H330" s="19" t="e">
        <f>IF(ISBLANK(B330),0,+#REF!/B330)</f>
        <v>#REF!</v>
      </c>
      <c r="I330" s="19"/>
      <c r="J330" s="16">
        <f>IF(ISBLANK(B330),0,+J$305)</f>
        <v>55</v>
      </c>
      <c r="K330" s="16">
        <f>ROUND(K329*K$305,2)</f>
        <v>0</v>
      </c>
      <c r="L330" s="16">
        <f>ROUND(L329*L$305,2)</f>
        <v>0</v>
      </c>
      <c r="M330" s="16">
        <f>ROUND(M329*M$305,2)</f>
        <v>0</v>
      </c>
      <c r="N330" s="16">
        <f>SUM(K330:M330)</f>
        <v>0</v>
      </c>
      <c r="O330" s="16"/>
      <c r="P330" s="16"/>
      <c r="Q330" s="16"/>
      <c r="R330" s="8"/>
      <c r="S330" s="17">
        <f>ROUND($B330*S$305*S329,2)</f>
        <v>0</v>
      </c>
      <c r="T330" s="17">
        <f>ROUND($B330*T$305,2)</f>
        <v>0</v>
      </c>
      <c r="U330" s="17">
        <f>ROUND($B330*U$305,2)</f>
        <v>0</v>
      </c>
      <c r="V330" s="17">
        <f>ROUND($B330*V$298,2)</f>
        <v>0</v>
      </c>
      <c r="W330" s="17">
        <f>ROUND($B330*W$305,2)</f>
        <v>0</v>
      </c>
      <c r="X330" s="17">
        <f>ROUND($B330*X$305,2)</f>
        <v>0</v>
      </c>
      <c r="Y330" s="17">
        <f>ROUND($B330*Y$305,2)</f>
        <v>0</v>
      </c>
      <c r="Z330" s="17">
        <f>ROUND($B330*Z$305,2)</f>
        <v>0</v>
      </c>
      <c r="AA330" s="17">
        <f>ROUND($B330*AA$305,2)</f>
        <v>0</v>
      </c>
      <c r="AB330" s="19">
        <f>SUM(U325:AA325)</f>
        <v>0</v>
      </c>
      <c r="AC330" s="67" t="str">
        <f>+F330</f>
        <v>SE8</v>
      </c>
    </row>
    <row r="331" spans="1:29" x14ac:dyDescent="0.2">
      <c r="A331" s="9"/>
      <c r="B331" s="103">
        <v>-1</v>
      </c>
      <c r="C331" s="34"/>
      <c r="F331" s="12"/>
      <c r="G331" s="12"/>
      <c r="H331" s="12"/>
      <c r="I331" s="19"/>
      <c r="J331" s="12"/>
      <c r="K331" s="35">
        <f>IF(D332&gt;K$306,+K$306,D332)</f>
        <v>0</v>
      </c>
      <c r="L331" s="35">
        <f>IF(D332&gt;K331,+D332-K331,0)</f>
        <v>0</v>
      </c>
      <c r="M331" s="34">
        <f>IF(B332&gt;D332,+B332-D332,0)</f>
        <v>0</v>
      </c>
      <c r="N331" s="34"/>
      <c r="O331" s="34"/>
      <c r="P331" s="34"/>
      <c r="Q331" s="34"/>
      <c r="R331" s="12"/>
      <c r="S331" s="50">
        <v>0.5</v>
      </c>
      <c r="T331" s="12"/>
      <c r="U331" s="12"/>
      <c r="V331" s="12"/>
      <c r="W331" s="12"/>
      <c r="X331" s="12"/>
      <c r="Y331" s="12"/>
      <c r="Z331" s="12"/>
      <c r="AA331" s="12"/>
    </row>
    <row r="332" spans="1:29" x14ac:dyDescent="0.2">
      <c r="A332" s="1" t="s">
        <v>149</v>
      </c>
      <c r="B332" s="103">
        <f>IF(AND('AES Indiana Bill Calc.'!$D$17="SE",'AES Indiana Bill Calc.'!$D$18="Yes 50%",'AES Indiana Bill Calc.'!$D$20="Yes 2018"),'AES Indiana Bill Calc.'!$D$19,-1)</f>
        <v>-1</v>
      </c>
      <c r="C332" s="103" t="b">
        <f>IF(AND('AES Indiana Bill Calc.'!$D$17="SE",'AES Indiana Bill Calc.'!$D$18="Yes 50%",'AES Indiana Bill Calc.'!$D$20="Yes 2018"),'AES Indiana Bill Calc.'!$D$23)</f>
        <v>0</v>
      </c>
      <c r="D332" s="2">
        <f>ROUND(C332*D$305,0)</f>
        <v>0</v>
      </c>
      <c r="F332" s="36" t="s">
        <v>186</v>
      </c>
      <c r="G332" s="17">
        <f>SUM(J332:M332,O332:P332,R332:AA332)</f>
        <v>55</v>
      </c>
      <c r="H332" s="19" t="e">
        <f>IF(ISBLANK(B332),0,+#REF!/B332)</f>
        <v>#REF!</v>
      </c>
      <c r="I332" s="19"/>
      <c r="J332" s="16">
        <f>IF(ISBLANK(B332),0,+J$305)</f>
        <v>55</v>
      </c>
      <c r="K332" s="16">
        <f>ROUND(K331*K$305,2)</f>
        <v>0</v>
      </c>
      <c r="L332" s="16">
        <f>ROUND(L331*L$305,2)</f>
        <v>0</v>
      </c>
      <c r="M332" s="16">
        <f>ROUND(M331*M$305,2)</f>
        <v>0</v>
      </c>
      <c r="N332" s="16">
        <f>SUM(K332:M332)</f>
        <v>0</v>
      </c>
      <c r="O332" s="16"/>
      <c r="P332" s="16"/>
      <c r="Q332" s="16"/>
      <c r="R332" s="8"/>
      <c r="S332" s="17">
        <f>ROUND($B332*S$305*S331,2)</f>
        <v>0</v>
      </c>
      <c r="T332" s="17">
        <f>ROUND($B332*T$305,2)</f>
        <v>0</v>
      </c>
      <c r="U332" s="17">
        <f>ROUND($B332*U$305,2)</f>
        <v>0</v>
      </c>
      <c r="V332" s="17">
        <f>ROUND($B332*V$298,2)</f>
        <v>0</v>
      </c>
      <c r="W332" s="17">
        <f>ROUND($B332*W$305,2)</f>
        <v>0</v>
      </c>
      <c r="X332" s="17">
        <f>ROUND($B332*X$305,2)</f>
        <v>0</v>
      </c>
      <c r="Y332" s="17">
        <f>ROUND($B332*Y$305,2)</f>
        <v>0</v>
      </c>
      <c r="Z332" s="17">
        <f>ROUND($B332*Z$305,2)</f>
        <v>0</v>
      </c>
      <c r="AA332" s="17">
        <f>ROUND($B332*AA$305,2)</f>
        <v>0</v>
      </c>
      <c r="AB332" s="19">
        <f>SUM(U327:AA327)</f>
        <v>0</v>
      </c>
      <c r="AC332" s="67" t="str">
        <f>+F332</f>
        <v>SE8</v>
      </c>
    </row>
    <row r="333" spans="1:29" x14ac:dyDescent="0.2">
      <c r="A333" s="9"/>
      <c r="B333" s="103">
        <v>-1</v>
      </c>
      <c r="C333" s="34"/>
      <c r="F333" s="12"/>
      <c r="G333" s="12"/>
      <c r="H333" s="12"/>
      <c r="I333" s="19"/>
      <c r="J333" s="12"/>
      <c r="K333" s="35">
        <f>IF(D334&gt;K$306,+K$306,D334)</f>
        <v>0</v>
      </c>
      <c r="L333" s="35">
        <f>IF(D334&gt;K333,+D334-K333,0)</f>
        <v>0</v>
      </c>
      <c r="M333" s="34">
        <f>IF(B334&gt;D334,+B334-D334,0)</f>
        <v>0</v>
      </c>
      <c r="N333" s="34"/>
      <c r="O333" s="34"/>
      <c r="P333" s="34"/>
      <c r="Q333" s="34"/>
      <c r="R333" s="12"/>
      <c r="S333" s="50">
        <v>0.25</v>
      </c>
      <c r="T333" s="12"/>
      <c r="U333" s="12"/>
      <c r="V333" s="12"/>
      <c r="W333" s="12"/>
      <c r="X333" s="12"/>
      <c r="Y333" s="12"/>
      <c r="Z333" s="12"/>
      <c r="AA333" s="12"/>
    </row>
    <row r="334" spans="1:29" x14ac:dyDescent="0.2">
      <c r="A334" s="1" t="s">
        <v>150</v>
      </c>
      <c r="B334" s="103">
        <f>IF(AND('AES Indiana Bill Calc.'!$D$17="SE",'AES Indiana Bill Calc.'!$D$18="Yes 25%",'AES Indiana Bill Calc.'!$D$20="Yes 2018"),'AES Indiana Bill Calc.'!$D$19,-1)</f>
        <v>-1</v>
      </c>
      <c r="C334" s="103" t="b">
        <f>IF(AND('AES Indiana Bill Calc.'!$D$17="SE",'AES Indiana Bill Calc.'!$D$18="Yes 25%",'AES Indiana Bill Calc.'!$D$20="Yes 2018"),'AES Indiana Bill Calc.'!$D$23)</f>
        <v>0</v>
      </c>
      <c r="D334" s="2">
        <f>ROUND(C334*D$305,0)</f>
        <v>0</v>
      </c>
      <c r="F334" s="36" t="s">
        <v>186</v>
      </c>
      <c r="G334" s="17">
        <f>SUM(J334:M334,O334:P334,R334:AA334)</f>
        <v>55</v>
      </c>
      <c r="H334" s="19" t="e">
        <f>IF(ISBLANK(B334),0,+#REF!/B334)</f>
        <v>#REF!</v>
      </c>
      <c r="I334" s="19"/>
      <c r="J334" s="16">
        <f>IF(ISBLANK(B334),0,+J$305)</f>
        <v>55</v>
      </c>
      <c r="K334" s="16">
        <f>ROUND(K333*K$305,2)</f>
        <v>0</v>
      </c>
      <c r="L334" s="16">
        <f>ROUND(L333*L$305,2)</f>
        <v>0</v>
      </c>
      <c r="M334" s="16">
        <f>ROUND(M333*M$305,2)</f>
        <v>0</v>
      </c>
      <c r="N334" s="16">
        <f>SUM(K334:M334)</f>
        <v>0</v>
      </c>
      <c r="O334" s="16"/>
      <c r="P334" s="16"/>
      <c r="Q334" s="16"/>
      <c r="R334" s="8"/>
      <c r="S334" s="17">
        <f>ROUND($B334*S$305*S333,2)</f>
        <v>0</v>
      </c>
      <c r="T334" s="17">
        <f>ROUND($B334*T$305,2)</f>
        <v>0</v>
      </c>
      <c r="U334" s="17">
        <f>ROUND($B334*U$305,2)</f>
        <v>0</v>
      </c>
      <c r="V334" s="17">
        <f>ROUND($B334*V$298,2)</f>
        <v>0</v>
      </c>
      <c r="W334" s="17">
        <f>ROUND($B334*W$305,2)</f>
        <v>0</v>
      </c>
      <c r="X334" s="17">
        <f>ROUND($B334*X$305,2)</f>
        <v>0</v>
      </c>
      <c r="Y334" s="17">
        <f>ROUND($B334*Y$305,2)</f>
        <v>0</v>
      </c>
      <c r="Z334" s="17">
        <f>ROUND($B334*Z$305,2)</f>
        <v>0</v>
      </c>
      <c r="AA334" s="17">
        <f>ROUND($B334*AA$305,2)</f>
        <v>0</v>
      </c>
      <c r="AB334" s="19">
        <f>SUM(U329:AA329)</f>
        <v>0</v>
      </c>
      <c r="AC334" s="67" t="str">
        <f>+F334</f>
        <v>SE8</v>
      </c>
    </row>
    <row r="335" spans="1:29" x14ac:dyDescent="0.2">
      <c r="A335" s="9"/>
      <c r="B335" s="103">
        <v>-1</v>
      </c>
      <c r="C335" s="34"/>
      <c r="F335" s="12"/>
      <c r="G335" s="12"/>
      <c r="H335" s="12"/>
      <c r="I335" s="19"/>
      <c r="J335" s="12"/>
      <c r="K335" s="35">
        <f>IF(D336&gt;K$306,+K$306,D336)</f>
        <v>0</v>
      </c>
      <c r="L335" s="35">
        <f>IF(D336&gt;K335,+D336-K335,0)</f>
        <v>0</v>
      </c>
      <c r="M335" s="34">
        <f>IF(B336&gt;D336,+B336-D336,0)</f>
        <v>0</v>
      </c>
      <c r="N335" s="34"/>
      <c r="O335" s="34"/>
      <c r="P335" s="34"/>
      <c r="Q335" s="34"/>
      <c r="R335" s="12"/>
      <c r="S335" s="50">
        <v>0.1</v>
      </c>
      <c r="T335" s="12"/>
      <c r="U335" s="12"/>
      <c r="V335" s="12"/>
      <c r="W335" s="12"/>
      <c r="X335" s="12"/>
      <c r="Y335" s="12"/>
      <c r="Z335" s="12"/>
      <c r="AA335" s="12"/>
    </row>
    <row r="336" spans="1:29" x14ac:dyDescent="0.2">
      <c r="A336" s="1" t="s">
        <v>164</v>
      </c>
      <c r="B336" s="103">
        <f>IF(AND('AES Indiana Bill Calc.'!$D$17="SE",'AES Indiana Bill Calc.'!$D$18="Yes 10%",'AES Indiana Bill Calc.'!$D$20="Yes 2018"),'AES Indiana Bill Calc.'!$D$19,-1)</f>
        <v>-1</v>
      </c>
      <c r="C336" s="103" t="b">
        <f>IF(AND('AES Indiana Bill Calc.'!$D$17="SE",'AES Indiana Bill Calc.'!$D$18="Yes 10%",'AES Indiana Bill Calc.'!$D$20="Yes 2018"),'AES Indiana Bill Calc.'!$D$23)</f>
        <v>0</v>
      </c>
      <c r="D336" s="2">
        <f>ROUND(C336*D$305,0)</f>
        <v>0</v>
      </c>
      <c r="F336" s="36" t="s">
        <v>186</v>
      </c>
      <c r="G336" s="17">
        <f>SUM(J336:M336,O336:P336,R336:AA336)</f>
        <v>55</v>
      </c>
      <c r="H336" s="19" t="e">
        <f>IF(ISBLANK(B336),0,+#REF!/B336)</f>
        <v>#REF!</v>
      </c>
      <c r="I336" s="19"/>
      <c r="J336" s="16">
        <f>IF(ISBLANK(B336),0,+J$305)</f>
        <v>55</v>
      </c>
      <c r="K336" s="16">
        <f>ROUND(K335*K$305,2)</f>
        <v>0</v>
      </c>
      <c r="L336" s="16">
        <f>ROUND(L335*L$305,2)</f>
        <v>0</v>
      </c>
      <c r="M336" s="16">
        <f>ROUND(M335*M$305,2)</f>
        <v>0</v>
      </c>
      <c r="N336" s="16">
        <f>SUM(K336:M336)</f>
        <v>0</v>
      </c>
      <c r="O336" s="16"/>
      <c r="P336" s="16"/>
      <c r="Q336" s="16"/>
      <c r="R336" s="8"/>
      <c r="S336" s="17">
        <f>ROUND($B336*S$305*S335,2)</f>
        <v>0</v>
      </c>
      <c r="T336" s="17">
        <f>ROUND($B336*T$305,2)</f>
        <v>0</v>
      </c>
      <c r="U336" s="17">
        <f>ROUND($B336*U$305,2)</f>
        <v>0</v>
      </c>
      <c r="V336" s="17">
        <f>ROUND($B336*V$298,2)</f>
        <v>0</v>
      </c>
      <c r="W336" s="17">
        <f>ROUND($B336*W$305,2)</f>
        <v>0</v>
      </c>
      <c r="X336" s="17">
        <f>ROUND($B336*X$305,2)</f>
        <v>0</v>
      </c>
      <c r="Y336" s="17">
        <f>ROUND($B336*Y$305,2)</f>
        <v>0</v>
      </c>
      <c r="Z336" s="17">
        <f>ROUND($B336*Z$305,2)</f>
        <v>0</v>
      </c>
      <c r="AA336" s="17">
        <f>ROUND($B336*AA$305,2)</f>
        <v>0</v>
      </c>
      <c r="AB336" s="19">
        <f>SUM(U331:AA331)</f>
        <v>0</v>
      </c>
      <c r="AC336" s="67" t="str">
        <f>+F336</f>
        <v>SE8</v>
      </c>
    </row>
    <row r="337" spans="1:29" x14ac:dyDescent="0.2">
      <c r="A337" s="9"/>
      <c r="B337" s="103">
        <v>-1</v>
      </c>
      <c r="C337" s="34"/>
      <c r="F337" s="12"/>
      <c r="G337" s="12"/>
      <c r="H337" s="12"/>
      <c r="I337" s="19"/>
      <c r="J337" s="12"/>
      <c r="K337" s="35">
        <f>IF(D338&gt;K$306,+K$306,D338)</f>
        <v>0</v>
      </c>
      <c r="L337" s="35">
        <f>IF(D338&gt;K337,+D338-K337,0)</f>
        <v>0</v>
      </c>
      <c r="M337" s="34">
        <f>IF(B338&gt;D338,+B338-D338,0)</f>
        <v>0</v>
      </c>
      <c r="N337" s="34"/>
      <c r="O337" s="34"/>
      <c r="P337" s="34"/>
      <c r="Q337" s="34"/>
      <c r="R337" s="12"/>
      <c r="S337" s="50">
        <v>0</v>
      </c>
      <c r="T337" s="12"/>
      <c r="U337" s="12"/>
      <c r="V337" s="12"/>
      <c r="W337" s="12"/>
      <c r="X337" s="12"/>
      <c r="Y337" s="12"/>
      <c r="Z337" s="12"/>
      <c r="AA337" s="12"/>
    </row>
    <row r="338" spans="1:29" x14ac:dyDescent="0.2">
      <c r="A338" s="1" t="s">
        <v>147</v>
      </c>
      <c r="B338" s="103">
        <f>IF(AND('AES Indiana Bill Calc.'!$D$17="SE",'AES Indiana Bill Calc.'!$D$18="No",'AES Indiana Bill Calc.'!$D$20="Yes 2018"),'AES Indiana Bill Calc.'!$D$19,-1)</f>
        <v>-1</v>
      </c>
      <c r="C338" s="103" t="b">
        <f>IF(AND('AES Indiana Bill Calc.'!$D$17="SE",'AES Indiana Bill Calc.'!$D$18="No",'AES Indiana Bill Calc.'!$D$20="Yes 2018"),'AES Indiana Bill Calc.'!$D$23)</f>
        <v>0</v>
      </c>
      <c r="D338" s="2">
        <f>ROUND(C338*D$305,0)</f>
        <v>0</v>
      </c>
      <c r="F338" s="36" t="s">
        <v>186</v>
      </c>
      <c r="G338" s="17">
        <f>SUM(J338:M338,O338:P338,R338:AA338)</f>
        <v>55</v>
      </c>
      <c r="H338" s="19" t="e">
        <f>IF(ISBLANK(B338),0,+#REF!/B338)</f>
        <v>#REF!</v>
      </c>
      <c r="I338" s="19"/>
      <c r="J338" s="16">
        <f>IF(ISBLANK(B338),0,+J$305)</f>
        <v>55</v>
      </c>
      <c r="K338" s="16">
        <f>ROUND(K337*K$305,2)</f>
        <v>0</v>
      </c>
      <c r="L338" s="16">
        <f>ROUND(L337*L$305,2)</f>
        <v>0</v>
      </c>
      <c r="M338" s="16">
        <f>ROUND(M337*M$305,2)</f>
        <v>0</v>
      </c>
      <c r="N338" s="16">
        <f>SUM(K338:M338)</f>
        <v>0</v>
      </c>
      <c r="O338" s="16"/>
      <c r="P338" s="16"/>
      <c r="Q338" s="16"/>
      <c r="R338" s="8"/>
      <c r="S338" s="17">
        <f>ROUND($B338*S$305*S337,2)</f>
        <v>0</v>
      </c>
      <c r="T338" s="17">
        <f>ROUND($B338*T$305,2)</f>
        <v>0</v>
      </c>
      <c r="U338" s="17">
        <f>ROUND($B338*U$305,2)</f>
        <v>0</v>
      </c>
      <c r="V338" s="17">
        <f>ROUND($B338*V$298,2)</f>
        <v>0</v>
      </c>
      <c r="W338" s="17">
        <f>ROUND($B338*W$305,2)</f>
        <v>0</v>
      </c>
      <c r="X338" s="17">
        <f>ROUND($B338*X$305,2)</f>
        <v>0</v>
      </c>
      <c r="Y338" s="17">
        <f>ROUND($B338*Y$305,2)</f>
        <v>0</v>
      </c>
      <c r="Z338" s="17">
        <f>ROUND($B338*Z$305,2)</f>
        <v>0</v>
      </c>
      <c r="AA338" s="17">
        <f>ROUND($B338*AA$305,2)</f>
        <v>0</v>
      </c>
      <c r="AB338" s="19">
        <f>SUM(U333:AA333)</f>
        <v>0</v>
      </c>
      <c r="AC338" s="67" t="str">
        <f>+F338</f>
        <v>SE8</v>
      </c>
    </row>
    <row r="339" spans="1:29" x14ac:dyDescent="0.2">
      <c r="B339" s="103">
        <v>-1</v>
      </c>
      <c r="C339" s="34"/>
      <c r="F339" s="12"/>
      <c r="G339" s="12"/>
      <c r="H339" s="12"/>
      <c r="I339" s="19"/>
      <c r="J339" s="12"/>
      <c r="K339" s="35">
        <f>IF(D340&gt;K$306,+K$306,D340)</f>
        <v>0</v>
      </c>
      <c r="L339" s="35">
        <f>IF(D340&gt;K339,+D340-K339,0)</f>
        <v>0</v>
      </c>
      <c r="M339" s="34">
        <f>IF(B340&gt;D340,+B340-D340,0)</f>
        <v>0</v>
      </c>
      <c r="N339" s="34"/>
      <c r="O339" s="34"/>
      <c r="P339" s="34"/>
      <c r="Q339" s="34"/>
      <c r="R339" s="12"/>
      <c r="S339" s="50">
        <v>1</v>
      </c>
      <c r="T339" s="12"/>
      <c r="U339" s="12"/>
      <c r="V339" s="12"/>
      <c r="W339" s="12"/>
      <c r="X339" s="12"/>
      <c r="Y339" s="12"/>
      <c r="Z339" s="12"/>
      <c r="AA339" s="12"/>
    </row>
    <row r="340" spans="1:29" x14ac:dyDescent="0.2">
      <c r="A340" s="1" t="s">
        <v>148</v>
      </c>
      <c r="B340" s="103">
        <f>IF(AND('AES Indiana Bill Calc.'!$D$17="SE",'AES Indiana Bill Calc.'!$D$18="Yes 100%",'AES Indiana Bill Calc.'!$D$20="Yes 2019"),'AES Indiana Bill Calc.'!$D$19,-1)</f>
        <v>-1</v>
      </c>
      <c r="C340" s="103" t="b">
        <f>IF(AND('AES Indiana Bill Calc.'!$D$17="SE",'AES Indiana Bill Calc.'!$D$18="Yes 100%",'AES Indiana Bill Calc.'!$D$20="Yes 2019"),'AES Indiana Bill Calc.'!$D$23)</f>
        <v>0</v>
      </c>
      <c r="D340" s="2">
        <f>ROUND(C340*D$305,0)</f>
        <v>0</v>
      </c>
      <c r="F340" s="36" t="s">
        <v>187</v>
      </c>
      <c r="G340" s="17">
        <f>SUM(J340:M340,O340:P340,R340:AA340)</f>
        <v>55</v>
      </c>
      <c r="H340" s="19" t="e">
        <f>IF(ISBLANK(B340),0,+#REF!/B340)</f>
        <v>#REF!</v>
      </c>
      <c r="I340" s="19"/>
      <c r="J340" s="16">
        <f>IF(ISBLANK(B340),0,+J$305)</f>
        <v>55</v>
      </c>
      <c r="K340" s="16">
        <f>ROUND(K339*K$305,2)</f>
        <v>0</v>
      </c>
      <c r="L340" s="16">
        <f>ROUND(L339*L$305,2)</f>
        <v>0</v>
      </c>
      <c r="M340" s="16">
        <f>ROUND(M339*M$305,2)</f>
        <v>0</v>
      </c>
      <c r="N340" s="16">
        <f>SUM(K340:M340)</f>
        <v>0</v>
      </c>
      <c r="O340" s="16"/>
      <c r="P340" s="16"/>
      <c r="Q340" s="16"/>
      <c r="R340" s="8"/>
      <c r="S340" s="17">
        <f>ROUND($B340*S$305*S339,2)</f>
        <v>0</v>
      </c>
      <c r="T340" s="17">
        <f>ROUND($B340*T$305,2)</f>
        <v>0</v>
      </c>
      <c r="U340" s="17">
        <f>ROUND($B340*U$305,2)</f>
        <v>0</v>
      </c>
      <c r="V340" s="17">
        <f>ROUND($B340*V$299,2)</f>
        <v>0</v>
      </c>
      <c r="W340" s="17">
        <f>ROUND($B340*W$305,2)</f>
        <v>0</v>
      </c>
      <c r="X340" s="17">
        <f>ROUND($B340*X$305,2)</f>
        <v>0</v>
      </c>
      <c r="Y340" s="17">
        <f>ROUND($B340*Y$305,2)</f>
        <v>0</v>
      </c>
      <c r="Z340" s="17">
        <f>ROUND($B340*Z$305,2)</f>
        <v>0</v>
      </c>
      <c r="AA340" s="17">
        <f>ROUND($B340*AA$305,2)</f>
        <v>0</v>
      </c>
      <c r="AB340" s="19">
        <f>SUM(U335:AA335)</f>
        <v>0</v>
      </c>
      <c r="AC340" s="67" t="str">
        <f>+F340</f>
        <v>SE9</v>
      </c>
    </row>
    <row r="341" spans="1:29" x14ac:dyDescent="0.2">
      <c r="A341" s="9"/>
      <c r="B341" s="103">
        <v>-1</v>
      </c>
      <c r="C341" s="34"/>
      <c r="F341" s="12"/>
      <c r="G341" s="12"/>
      <c r="H341" s="12"/>
      <c r="I341" s="19"/>
      <c r="J341" s="12"/>
      <c r="K341" s="35">
        <f>IF(D342&gt;K$306,+K$306,D342)</f>
        <v>0</v>
      </c>
      <c r="L341" s="35">
        <f>IF(D342&gt;K341,+D342-K341,0)</f>
        <v>0</v>
      </c>
      <c r="M341" s="34">
        <f>IF(B342&gt;D342,+B342-D342,0)</f>
        <v>0</v>
      </c>
      <c r="N341" s="34"/>
      <c r="O341" s="34"/>
      <c r="P341" s="34"/>
      <c r="Q341" s="34"/>
      <c r="R341" s="12"/>
      <c r="S341" s="50">
        <v>0.5</v>
      </c>
      <c r="T341" s="12"/>
      <c r="U341" s="12"/>
      <c r="V341" s="12"/>
      <c r="W341" s="12"/>
      <c r="X341" s="12"/>
      <c r="Y341" s="12"/>
      <c r="Z341" s="12"/>
      <c r="AA341" s="12"/>
    </row>
    <row r="342" spans="1:29" x14ac:dyDescent="0.2">
      <c r="A342" s="1" t="s">
        <v>149</v>
      </c>
      <c r="B342" s="103">
        <f>IF(AND('AES Indiana Bill Calc.'!$D$17="SE",'AES Indiana Bill Calc.'!$D$18="Yes 50%",'AES Indiana Bill Calc.'!$D$20="Yes 2019"),'AES Indiana Bill Calc.'!$D$19,-1)</f>
        <v>-1</v>
      </c>
      <c r="C342" s="103" t="b">
        <f>IF(AND('AES Indiana Bill Calc.'!$D$17="SE",'AES Indiana Bill Calc.'!$D$18="Yes 50%",'AES Indiana Bill Calc.'!$D$20="Yes 2019"),'AES Indiana Bill Calc.'!$D$23)</f>
        <v>0</v>
      </c>
      <c r="D342" s="2">
        <f>ROUND(C342*D$305,0)</f>
        <v>0</v>
      </c>
      <c r="F342" s="36" t="s">
        <v>187</v>
      </c>
      <c r="G342" s="17">
        <f>SUM(J342:M342,O342:P342,R342:AA342)</f>
        <v>55</v>
      </c>
      <c r="H342" s="19" t="e">
        <f>IF(ISBLANK(B342),0,+#REF!/B342)</f>
        <v>#REF!</v>
      </c>
      <c r="I342" s="19"/>
      <c r="J342" s="16">
        <f>IF(ISBLANK(B342),0,+J$305)</f>
        <v>55</v>
      </c>
      <c r="K342" s="16">
        <f>ROUND(K341*K$305,2)</f>
        <v>0</v>
      </c>
      <c r="L342" s="16">
        <f>ROUND(L341*L$305,2)</f>
        <v>0</v>
      </c>
      <c r="M342" s="16">
        <f>ROUND(M341*M$305,2)</f>
        <v>0</v>
      </c>
      <c r="N342" s="16">
        <f>SUM(K342:M342)</f>
        <v>0</v>
      </c>
      <c r="O342" s="16"/>
      <c r="P342" s="16"/>
      <c r="Q342" s="16"/>
      <c r="R342" s="8"/>
      <c r="S342" s="17">
        <f>ROUND($B342*S$305*S341,2)</f>
        <v>0</v>
      </c>
      <c r="T342" s="17">
        <f>ROUND($B342*T$305,2)</f>
        <v>0</v>
      </c>
      <c r="U342" s="17">
        <f>ROUND($B342*U$305,2)</f>
        <v>0</v>
      </c>
      <c r="V342" s="17">
        <f>ROUND($B342*V$299,2)</f>
        <v>0</v>
      </c>
      <c r="W342" s="17">
        <f>ROUND($B342*W$305,2)</f>
        <v>0</v>
      </c>
      <c r="X342" s="17">
        <f>ROUND($B342*X$305,2)</f>
        <v>0</v>
      </c>
      <c r="Y342" s="17">
        <f>ROUND($B342*Y$305,2)</f>
        <v>0</v>
      </c>
      <c r="Z342" s="17">
        <f>ROUND($B342*Z$305,2)</f>
        <v>0</v>
      </c>
      <c r="AA342" s="17">
        <f>ROUND($B342*AA$305,2)</f>
        <v>0</v>
      </c>
      <c r="AB342" s="19">
        <f>SUM(U337:AA337)</f>
        <v>0</v>
      </c>
      <c r="AC342" s="67" t="str">
        <f>+F342</f>
        <v>SE9</v>
      </c>
    </row>
    <row r="343" spans="1:29" x14ac:dyDescent="0.2">
      <c r="A343" s="9"/>
      <c r="B343" s="103">
        <v>-1</v>
      </c>
      <c r="C343" s="34"/>
      <c r="F343" s="12"/>
      <c r="G343" s="12"/>
      <c r="H343" s="12"/>
      <c r="I343" s="19"/>
      <c r="J343" s="12"/>
      <c r="K343" s="35">
        <f>IF(D344&gt;K$306,+K$306,D344)</f>
        <v>0</v>
      </c>
      <c r="L343" s="35">
        <f>IF(D344&gt;K343,+D344-K343,0)</f>
        <v>0</v>
      </c>
      <c r="M343" s="34">
        <f>IF(B344&gt;D344,+B344-D344,0)</f>
        <v>0</v>
      </c>
      <c r="N343" s="34"/>
      <c r="O343" s="34"/>
      <c r="P343" s="34"/>
      <c r="Q343" s="34"/>
      <c r="R343" s="12"/>
      <c r="S343" s="50">
        <v>0.25</v>
      </c>
      <c r="T343" s="12"/>
      <c r="U343" s="12"/>
      <c r="V343" s="12"/>
      <c r="W343" s="12"/>
      <c r="X343" s="12"/>
      <c r="Y343" s="12"/>
      <c r="Z343" s="12"/>
      <c r="AA343" s="12"/>
    </row>
    <row r="344" spans="1:29" x14ac:dyDescent="0.2">
      <c r="A344" s="1" t="s">
        <v>150</v>
      </c>
      <c r="B344" s="103">
        <f>IF(AND('AES Indiana Bill Calc.'!$D$17="SE",'AES Indiana Bill Calc.'!$D$18="Yes 25%",'AES Indiana Bill Calc.'!$D$20="Yes 2019"),'AES Indiana Bill Calc.'!$D$19,-1)</f>
        <v>-1</v>
      </c>
      <c r="C344" s="103" t="b">
        <f>IF(AND('AES Indiana Bill Calc.'!$D$17="SE",'AES Indiana Bill Calc.'!$D$18="Yes 25%",'AES Indiana Bill Calc.'!$D$20="Yes 2019"),'AES Indiana Bill Calc.'!$D$23)</f>
        <v>0</v>
      </c>
      <c r="D344" s="2">
        <f>ROUND(C344*D$305,0)</f>
        <v>0</v>
      </c>
      <c r="F344" s="36" t="s">
        <v>187</v>
      </c>
      <c r="G344" s="17">
        <f>SUM(J344:M344,O344:P344,R344:AA344)</f>
        <v>55</v>
      </c>
      <c r="H344" s="19" t="e">
        <f>IF(ISBLANK(B344),0,+#REF!/B344)</f>
        <v>#REF!</v>
      </c>
      <c r="I344" s="19"/>
      <c r="J344" s="16">
        <f>IF(ISBLANK(B344),0,+J$305)</f>
        <v>55</v>
      </c>
      <c r="K344" s="16">
        <f>ROUND(K343*K$305,2)</f>
        <v>0</v>
      </c>
      <c r="L344" s="16">
        <f>ROUND(L343*L$305,2)</f>
        <v>0</v>
      </c>
      <c r="M344" s="16">
        <f>ROUND(M343*M$305,2)</f>
        <v>0</v>
      </c>
      <c r="N344" s="16">
        <f>SUM(K344:M344)</f>
        <v>0</v>
      </c>
      <c r="O344" s="16"/>
      <c r="P344" s="16"/>
      <c r="Q344" s="16"/>
      <c r="R344" s="8"/>
      <c r="S344" s="17">
        <f>ROUND($B344*S$305*S343,2)</f>
        <v>0</v>
      </c>
      <c r="T344" s="17">
        <f>ROUND($B344*T$305,2)</f>
        <v>0</v>
      </c>
      <c r="U344" s="17">
        <f>ROUND($B344*U$305,2)</f>
        <v>0</v>
      </c>
      <c r="V344" s="17">
        <f>ROUND($B344*V$299,2)</f>
        <v>0</v>
      </c>
      <c r="W344" s="17">
        <f>ROUND($B344*W$305,2)</f>
        <v>0</v>
      </c>
      <c r="X344" s="17">
        <f>ROUND($B344*X$305,2)</f>
        <v>0</v>
      </c>
      <c r="Y344" s="17">
        <f>ROUND($B344*Y$305,2)</f>
        <v>0</v>
      </c>
      <c r="Z344" s="17">
        <f>ROUND($B344*Z$305,2)</f>
        <v>0</v>
      </c>
      <c r="AA344" s="17">
        <f>ROUND($B344*AA$305,2)</f>
        <v>0</v>
      </c>
      <c r="AB344" s="19">
        <f>SUM(U339:AA339)</f>
        <v>0</v>
      </c>
      <c r="AC344" s="67" t="str">
        <f>+F344</f>
        <v>SE9</v>
      </c>
    </row>
    <row r="345" spans="1:29" x14ac:dyDescent="0.2">
      <c r="A345" s="9"/>
      <c r="B345" s="103">
        <v>-1</v>
      </c>
      <c r="C345" s="34"/>
      <c r="F345" s="12"/>
      <c r="G345" s="12"/>
      <c r="H345" s="12"/>
      <c r="I345" s="19"/>
      <c r="J345" s="12"/>
      <c r="K345" s="35">
        <f>IF(D346&gt;K$306,+K$306,D346)</f>
        <v>0</v>
      </c>
      <c r="L345" s="35">
        <f>IF(D346&gt;K345,+D346-K345,0)</f>
        <v>0</v>
      </c>
      <c r="M345" s="34">
        <f>IF(B346&gt;D346,+B346-D346,0)</f>
        <v>0</v>
      </c>
      <c r="N345" s="34"/>
      <c r="O345" s="34"/>
      <c r="P345" s="34"/>
      <c r="Q345" s="34"/>
      <c r="R345" s="12"/>
      <c r="S345" s="50">
        <v>0.1</v>
      </c>
      <c r="T345" s="12"/>
      <c r="U345" s="12"/>
      <c r="V345" s="12"/>
      <c r="W345" s="12"/>
      <c r="X345" s="12"/>
      <c r="Y345" s="12"/>
      <c r="Z345" s="12"/>
      <c r="AA345" s="12"/>
    </row>
    <row r="346" spans="1:29" x14ac:dyDescent="0.2">
      <c r="A346" s="1" t="s">
        <v>164</v>
      </c>
      <c r="B346" s="103">
        <f>IF(AND('AES Indiana Bill Calc.'!$D$17="SE",'AES Indiana Bill Calc.'!$D$18="Yes 10%",'AES Indiana Bill Calc.'!$D$20="Yes 2019"),'AES Indiana Bill Calc.'!$D$19,-1)</f>
        <v>-1</v>
      </c>
      <c r="C346" s="103" t="b">
        <f>IF(AND('AES Indiana Bill Calc.'!$D$17="SE",'AES Indiana Bill Calc.'!$D$18="Yes 10%",'AES Indiana Bill Calc.'!$D$20="Yes 2019"),'AES Indiana Bill Calc.'!$D$23)</f>
        <v>0</v>
      </c>
      <c r="D346" s="2">
        <f>ROUND(C346*D$305,0)</f>
        <v>0</v>
      </c>
      <c r="F346" s="36" t="s">
        <v>187</v>
      </c>
      <c r="G346" s="17">
        <f>SUM(J346:M346,O346:P346,R346:AA346)</f>
        <v>55</v>
      </c>
      <c r="H346" s="19" t="e">
        <f>IF(ISBLANK(B346),0,+#REF!/B346)</f>
        <v>#REF!</v>
      </c>
      <c r="I346" s="19"/>
      <c r="J346" s="16">
        <f>IF(ISBLANK(B346),0,+J$305)</f>
        <v>55</v>
      </c>
      <c r="K346" s="16">
        <f>ROUND(K345*K$305,2)</f>
        <v>0</v>
      </c>
      <c r="L346" s="16">
        <f>ROUND(L345*L$305,2)</f>
        <v>0</v>
      </c>
      <c r="M346" s="16">
        <f>ROUND(M345*M$305,2)</f>
        <v>0</v>
      </c>
      <c r="N346" s="16">
        <f>SUM(K346:M346)</f>
        <v>0</v>
      </c>
      <c r="O346" s="16"/>
      <c r="P346" s="16"/>
      <c r="Q346" s="16"/>
      <c r="R346" s="8"/>
      <c r="S346" s="17">
        <f>ROUND($B346*S$305*S345,2)</f>
        <v>0</v>
      </c>
      <c r="T346" s="17">
        <f>ROUND($B346*T$305,2)</f>
        <v>0</v>
      </c>
      <c r="U346" s="17">
        <f>ROUND($B346*U$305,2)</f>
        <v>0</v>
      </c>
      <c r="V346" s="17">
        <f>ROUND($B346*V$299,2)</f>
        <v>0</v>
      </c>
      <c r="W346" s="17">
        <f>ROUND($B346*W$305,2)</f>
        <v>0</v>
      </c>
      <c r="X346" s="17">
        <f>ROUND($B346*X$305,2)</f>
        <v>0</v>
      </c>
      <c r="Y346" s="17">
        <f>ROUND($B346*Y$305,2)</f>
        <v>0</v>
      </c>
      <c r="Z346" s="17">
        <f>ROUND($B346*Z$305,2)</f>
        <v>0</v>
      </c>
      <c r="AA346" s="17">
        <f>ROUND($B346*AA$305,2)</f>
        <v>0</v>
      </c>
      <c r="AB346" s="19">
        <f>SUM(U341:AA341)</f>
        <v>0</v>
      </c>
      <c r="AC346" s="67" t="str">
        <f>+F346</f>
        <v>SE9</v>
      </c>
    </row>
    <row r="347" spans="1:29" x14ac:dyDescent="0.2">
      <c r="A347" s="9"/>
      <c r="B347" s="103">
        <v>-1</v>
      </c>
      <c r="C347" s="34"/>
      <c r="F347" s="12"/>
      <c r="G347" s="12"/>
      <c r="H347" s="12"/>
      <c r="I347" s="19"/>
      <c r="J347" s="12"/>
      <c r="K347" s="35">
        <f>IF(D348&gt;K$306,+K$306,D348)</f>
        <v>0</v>
      </c>
      <c r="L347" s="35">
        <f>IF(D348&gt;K347,+D348-K347,0)</f>
        <v>0</v>
      </c>
      <c r="M347" s="34">
        <f>IF(B348&gt;D348,+B348-D348,0)</f>
        <v>0</v>
      </c>
      <c r="N347" s="34"/>
      <c r="O347" s="34"/>
      <c r="P347" s="34"/>
      <c r="Q347" s="34"/>
      <c r="R347" s="12"/>
      <c r="S347" s="50">
        <v>0</v>
      </c>
      <c r="T347" s="12"/>
      <c r="U347" s="12"/>
      <c r="V347" s="12"/>
      <c r="W347" s="12"/>
      <c r="X347" s="12"/>
      <c r="Y347" s="12"/>
      <c r="Z347" s="12"/>
      <c r="AA347" s="12"/>
    </row>
    <row r="348" spans="1:29" x14ac:dyDescent="0.2">
      <c r="A348" s="1" t="s">
        <v>147</v>
      </c>
      <c r="B348" s="103">
        <f>IF(AND('AES Indiana Bill Calc.'!$D$17="SE",'AES Indiana Bill Calc.'!$D$18="No",'AES Indiana Bill Calc.'!$D$20="Yes 2019"),'AES Indiana Bill Calc.'!$D$19,-1)</f>
        <v>-1</v>
      </c>
      <c r="C348" s="103" t="b">
        <f>IF(AND('AES Indiana Bill Calc.'!$D$17="SE",'AES Indiana Bill Calc.'!$D$18="No",'AES Indiana Bill Calc.'!$D$20="Yes 2019"),'AES Indiana Bill Calc.'!$D$23)</f>
        <v>0</v>
      </c>
      <c r="D348" s="2">
        <f>ROUND(C348*D$305,0)</f>
        <v>0</v>
      </c>
      <c r="F348" s="36" t="s">
        <v>187</v>
      </c>
      <c r="G348" s="17">
        <f>SUM(J348:M348,O348:P348,R348:AA348)</f>
        <v>55</v>
      </c>
      <c r="H348" s="19" t="e">
        <f>IF(ISBLANK(B348),0,+#REF!/B348)</f>
        <v>#REF!</v>
      </c>
      <c r="I348" s="19"/>
      <c r="J348" s="16">
        <f>IF(ISBLANK(B348),0,+J$305)</f>
        <v>55</v>
      </c>
      <c r="K348" s="16">
        <f>ROUND(K347*K$305,2)</f>
        <v>0</v>
      </c>
      <c r="L348" s="16">
        <f>ROUND(L347*L$305,2)</f>
        <v>0</v>
      </c>
      <c r="M348" s="16">
        <f>ROUND(M347*M$305,2)</f>
        <v>0</v>
      </c>
      <c r="N348" s="16">
        <f>SUM(K348:M348)</f>
        <v>0</v>
      </c>
      <c r="O348" s="16"/>
      <c r="P348" s="16"/>
      <c r="Q348" s="16"/>
      <c r="R348" s="8"/>
      <c r="S348" s="17">
        <f>ROUND($B348*S$305*S347,2)</f>
        <v>0</v>
      </c>
      <c r="T348" s="17">
        <f>ROUND($B348*T$305,2)</f>
        <v>0</v>
      </c>
      <c r="U348" s="17">
        <f>ROUND($B348*U$305,2)</f>
        <v>0</v>
      </c>
      <c r="V348" s="17">
        <f>ROUND($B348*V$299,2)</f>
        <v>0</v>
      </c>
      <c r="W348" s="17">
        <f>ROUND($B348*W$305,2)</f>
        <v>0</v>
      </c>
      <c r="X348" s="17">
        <f>ROUND($B348*X$305,2)</f>
        <v>0</v>
      </c>
      <c r="Y348" s="17">
        <f>ROUND($B348*Y$305,2)</f>
        <v>0</v>
      </c>
      <c r="Z348" s="17">
        <f>ROUND($B348*Z$305,2)</f>
        <v>0</v>
      </c>
      <c r="AA348" s="17">
        <f>ROUND($B348*AA$305,2)</f>
        <v>0</v>
      </c>
      <c r="AB348" s="19">
        <f>SUM(U343:AA343)</f>
        <v>0</v>
      </c>
      <c r="AC348" s="67" t="str">
        <f>+F348</f>
        <v>SE9</v>
      </c>
    </row>
    <row r="349" spans="1:29" x14ac:dyDescent="0.2">
      <c r="B349" s="103">
        <v>-1</v>
      </c>
      <c r="C349" s="34"/>
      <c r="F349" s="12"/>
      <c r="G349" s="12"/>
      <c r="H349" s="12"/>
      <c r="I349" s="19"/>
      <c r="J349" s="12"/>
      <c r="K349" s="35">
        <f>IF(D350&gt;K$306,+K$306,D350)</f>
        <v>0</v>
      </c>
      <c r="L349" s="35">
        <f>IF(D350&gt;K349,+D350-K349,0)</f>
        <v>0</v>
      </c>
      <c r="M349" s="34">
        <f>IF(B350&gt;D350,+B350-D350,0)</f>
        <v>0</v>
      </c>
      <c r="N349" s="34"/>
      <c r="O349" s="34"/>
      <c r="P349" s="34"/>
      <c r="Q349" s="34"/>
      <c r="R349" s="12"/>
      <c r="S349" s="50">
        <v>1</v>
      </c>
      <c r="T349" s="12"/>
      <c r="U349" s="12"/>
      <c r="V349" s="12"/>
      <c r="W349" s="12"/>
      <c r="X349" s="12"/>
      <c r="Y349" s="12"/>
      <c r="Z349" s="12"/>
      <c r="AA349" s="12"/>
    </row>
    <row r="350" spans="1:29" x14ac:dyDescent="0.2">
      <c r="A350" s="1" t="s">
        <v>148</v>
      </c>
      <c r="B350" s="103">
        <f>IF(AND('AES Indiana Bill Calc.'!$D$17="SE",'AES Indiana Bill Calc.'!$D$18="Yes 100%",'AES Indiana Bill Calc.'!$D$20="Yes 2020"),'AES Indiana Bill Calc.'!$D$19,-1)</f>
        <v>-1</v>
      </c>
      <c r="C350" s="103" t="b">
        <f>IF(AND('AES Indiana Bill Calc.'!$D$17="SE",'AES Indiana Bill Calc.'!$D$18="Yes 100%",'AES Indiana Bill Calc.'!$D$20="Yes 2020"),'AES Indiana Bill Calc.'!$D$23)</f>
        <v>0</v>
      </c>
      <c r="D350" s="2">
        <f>ROUND(C350*D$305,0)</f>
        <v>0</v>
      </c>
      <c r="F350" s="36" t="s">
        <v>188</v>
      </c>
      <c r="G350" s="17">
        <f>SUM(J350:M350,O350:P350,R350:AA350)</f>
        <v>55</v>
      </c>
      <c r="H350" s="19" t="e">
        <f>IF(ISBLANK(B350),0,+#REF!/B350)</f>
        <v>#REF!</v>
      </c>
      <c r="I350" s="19"/>
      <c r="J350" s="16">
        <f>IF(ISBLANK(B350),0,+J$305)</f>
        <v>55</v>
      </c>
      <c r="K350" s="16">
        <f>ROUND(K349*K$305,2)</f>
        <v>0</v>
      </c>
      <c r="L350" s="16">
        <f>ROUND(L349*L$305,2)</f>
        <v>0</v>
      </c>
      <c r="M350" s="16">
        <f>ROUND(M349*M$305,2)</f>
        <v>0</v>
      </c>
      <c r="N350" s="16">
        <f>SUM(K350:M350)</f>
        <v>0</v>
      </c>
      <c r="O350" s="16"/>
      <c r="P350" s="16"/>
      <c r="Q350" s="16"/>
      <c r="R350" s="8"/>
      <c r="S350" s="17">
        <f>ROUND($B350*S$305*S349,2)</f>
        <v>0</v>
      </c>
      <c r="T350" s="17">
        <f>ROUND($B350*T$305,2)</f>
        <v>0</v>
      </c>
      <c r="U350" s="17">
        <f>ROUND($B350*U$305,2)</f>
        <v>0</v>
      </c>
      <c r="V350" s="17">
        <f>ROUND($B350*V$300,2)</f>
        <v>0</v>
      </c>
      <c r="W350" s="17">
        <f>ROUND($B350*W$305,2)</f>
        <v>0</v>
      </c>
      <c r="X350" s="17">
        <f>ROUND($B350*X$305,2)</f>
        <v>0</v>
      </c>
      <c r="Y350" s="17">
        <f>ROUND($B350*Y$305,2)</f>
        <v>0</v>
      </c>
      <c r="Z350" s="17">
        <f>ROUND($B350*Z$305,2)</f>
        <v>0</v>
      </c>
      <c r="AA350" s="17">
        <f>ROUND($B350*AA$305,2)</f>
        <v>0</v>
      </c>
      <c r="AB350" s="19">
        <f>SUM(U345:AA345)</f>
        <v>0</v>
      </c>
      <c r="AC350" s="67" t="str">
        <f>+F350</f>
        <v>SE0</v>
      </c>
    </row>
    <row r="351" spans="1:29" x14ac:dyDescent="0.2">
      <c r="A351" s="9"/>
      <c r="B351" s="103">
        <v>-1</v>
      </c>
      <c r="C351" s="34"/>
      <c r="F351" s="12"/>
      <c r="G351" s="12"/>
      <c r="H351" s="12"/>
      <c r="I351" s="19"/>
      <c r="J351" s="12"/>
      <c r="K351" s="35">
        <f>IF(D352&gt;K$306,+K$306,D352)</f>
        <v>0</v>
      </c>
      <c r="L351" s="35">
        <f>IF(D352&gt;K351,+D352-K351,0)</f>
        <v>0</v>
      </c>
      <c r="M351" s="34">
        <f>IF(B352&gt;D352,+B352-D352,0)</f>
        <v>0</v>
      </c>
      <c r="N351" s="34"/>
      <c r="O351" s="34"/>
      <c r="P351" s="34"/>
      <c r="Q351" s="34"/>
      <c r="R351" s="12"/>
      <c r="S351" s="50">
        <v>0.5</v>
      </c>
      <c r="T351" s="12"/>
      <c r="U351" s="12"/>
      <c r="V351" s="12"/>
      <c r="W351" s="12"/>
      <c r="X351" s="12"/>
      <c r="Y351" s="12"/>
      <c r="Z351" s="12"/>
      <c r="AA351" s="12"/>
    </row>
    <row r="352" spans="1:29" x14ac:dyDescent="0.2">
      <c r="A352" s="1" t="s">
        <v>149</v>
      </c>
      <c r="B352" s="103">
        <f>IF(AND('AES Indiana Bill Calc.'!$D$17="SE",'AES Indiana Bill Calc.'!$D$18="Yes 50%",'AES Indiana Bill Calc.'!$D$20="Yes 2020"),'AES Indiana Bill Calc.'!$D$19,-1)</f>
        <v>-1</v>
      </c>
      <c r="C352" s="103" t="b">
        <f>IF(AND('AES Indiana Bill Calc.'!$D$17="SE",'AES Indiana Bill Calc.'!$D$18="Yes 50%",'AES Indiana Bill Calc.'!$D$20="Yes 2020"),'AES Indiana Bill Calc.'!$D$23)</f>
        <v>0</v>
      </c>
      <c r="D352" s="2">
        <f>ROUND(C352*D$305,0)</f>
        <v>0</v>
      </c>
      <c r="F352" s="36" t="s">
        <v>188</v>
      </c>
      <c r="G352" s="17">
        <f>SUM(J352:M352,O352:P352,R352:AA352)</f>
        <v>55</v>
      </c>
      <c r="H352" s="19" t="e">
        <f>IF(ISBLANK(B352),0,+#REF!/B352)</f>
        <v>#REF!</v>
      </c>
      <c r="I352" s="19"/>
      <c r="J352" s="16">
        <f>IF(ISBLANK(B352),0,+J$305)</f>
        <v>55</v>
      </c>
      <c r="K352" s="16">
        <f>ROUND(K351*K$305,2)</f>
        <v>0</v>
      </c>
      <c r="L352" s="16">
        <f>ROUND(L351*L$305,2)</f>
        <v>0</v>
      </c>
      <c r="M352" s="16">
        <f>ROUND(M351*M$305,2)</f>
        <v>0</v>
      </c>
      <c r="N352" s="16">
        <f>SUM(K352:M352)</f>
        <v>0</v>
      </c>
      <c r="O352" s="16"/>
      <c r="P352" s="16"/>
      <c r="Q352" s="16"/>
      <c r="R352" s="8"/>
      <c r="S352" s="17">
        <f>ROUND($B352*S$305*S351,2)</f>
        <v>0</v>
      </c>
      <c r="T352" s="17">
        <f>ROUND($B352*T$305,2)</f>
        <v>0</v>
      </c>
      <c r="U352" s="17">
        <f>ROUND($B352*U$305,2)</f>
        <v>0</v>
      </c>
      <c r="V352" s="17">
        <f>ROUND($B352*V$300,2)</f>
        <v>0</v>
      </c>
      <c r="W352" s="17">
        <f>ROUND($B352*W$305,2)</f>
        <v>0</v>
      </c>
      <c r="X352" s="17">
        <f>ROUND($B352*X$305,2)</f>
        <v>0</v>
      </c>
      <c r="Y352" s="17">
        <f>ROUND($B352*Y$305,2)</f>
        <v>0</v>
      </c>
      <c r="Z352" s="17">
        <f>ROUND($B352*Z$305,2)</f>
        <v>0</v>
      </c>
      <c r="AA352" s="17">
        <f>ROUND($B352*AA$305,2)</f>
        <v>0</v>
      </c>
      <c r="AB352" s="19">
        <f>SUM(U347:AA347)</f>
        <v>0</v>
      </c>
      <c r="AC352" s="67" t="str">
        <f>+F352</f>
        <v>SE0</v>
      </c>
    </row>
    <row r="353" spans="1:29" x14ac:dyDescent="0.2">
      <c r="A353" s="9"/>
      <c r="B353" s="103">
        <v>-1</v>
      </c>
      <c r="C353" s="34"/>
      <c r="F353" s="12"/>
      <c r="G353" s="12"/>
      <c r="H353" s="12"/>
      <c r="I353" s="19"/>
      <c r="J353" s="12"/>
      <c r="K353" s="35">
        <f>IF(D354&gt;K$306,+K$306,D354)</f>
        <v>0</v>
      </c>
      <c r="L353" s="35">
        <f>IF(D354&gt;K353,+D354-K353,0)</f>
        <v>0</v>
      </c>
      <c r="M353" s="34">
        <f>IF(B354&gt;D354,+B354-D354,0)</f>
        <v>0</v>
      </c>
      <c r="N353" s="34"/>
      <c r="O353" s="34"/>
      <c r="P353" s="34"/>
      <c r="Q353" s="34"/>
      <c r="R353" s="12"/>
      <c r="S353" s="50">
        <v>0.25</v>
      </c>
      <c r="T353" s="12"/>
      <c r="U353" s="12"/>
      <c r="V353" s="12"/>
      <c r="W353" s="12"/>
      <c r="X353" s="12"/>
      <c r="Y353" s="12"/>
      <c r="Z353" s="12"/>
      <c r="AA353" s="12"/>
    </row>
    <row r="354" spans="1:29" x14ac:dyDescent="0.2">
      <c r="A354" s="1" t="s">
        <v>150</v>
      </c>
      <c r="B354" s="103">
        <f>IF(AND('AES Indiana Bill Calc.'!$D$17="SE",'AES Indiana Bill Calc.'!$D$18="Yes 25%",'AES Indiana Bill Calc.'!$D$20="Yes 2020"),'AES Indiana Bill Calc.'!$D$19,-1)</f>
        <v>-1</v>
      </c>
      <c r="C354" s="103" t="b">
        <f>IF(AND('AES Indiana Bill Calc.'!$D$17="SE",'AES Indiana Bill Calc.'!$D$18="Yes 25%",'AES Indiana Bill Calc.'!$D$20="Yes 2020"),'AES Indiana Bill Calc.'!$D$23)</f>
        <v>0</v>
      </c>
      <c r="D354" s="2">
        <f>ROUND(C354*D$305,0)</f>
        <v>0</v>
      </c>
      <c r="F354" s="36" t="s">
        <v>188</v>
      </c>
      <c r="G354" s="17">
        <f>SUM(J354:M354,O354:P354,R354:AA354)</f>
        <v>55</v>
      </c>
      <c r="H354" s="19" t="e">
        <f>IF(ISBLANK(B354),0,+#REF!/B354)</f>
        <v>#REF!</v>
      </c>
      <c r="I354" s="19"/>
      <c r="J354" s="16">
        <f>IF(ISBLANK(B354),0,+J$305)</f>
        <v>55</v>
      </c>
      <c r="K354" s="16">
        <f>ROUND(K353*K$305,2)</f>
        <v>0</v>
      </c>
      <c r="L354" s="16">
        <f>ROUND(L353*L$305,2)</f>
        <v>0</v>
      </c>
      <c r="M354" s="16">
        <f>ROUND(M353*M$305,2)</f>
        <v>0</v>
      </c>
      <c r="N354" s="16">
        <f>SUM(K354:M354)</f>
        <v>0</v>
      </c>
      <c r="O354" s="16"/>
      <c r="P354" s="16"/>
      <c r="Q354" s="16"/>
      <c r="R354" s="8"/>
      <c r="S354" s="17">
        <f>ROUND($B354*S$305*S353,2)</f>
        <v>0</v>
      </c>
      <c r="T354" s="17">
        <f>ROUND($B354*T$305,2)</f>
        <v>0</v>
      </c>
      <c r="U354" s="17">
        <f>ROUND($B354*U$305,2)</f>
        <v>0</v>
      </c>
      <c r="V354" s="17">
        <f>ROUND($B354*V$300,2)</f>
        <v>0</v>
      </c>
      <c r="W354" s="17">
        <f>ROUND($B354*W$305,2)</f>
        <v>0</v>
      </c>
      <c r="X354" s="17">
        <f>ROUND($B354*X$305,2)</f>
        <v>0</v>
      </c>
      <c r="Y354" s="17">
        <f>ROUND($B354*Y$305,2)</f>
        <v>0</v>
      </c>
      <c r="Z354" s="17">
        <f>ROUND($B354*Z$305,2)</f>
        <v>0</v>
      </c>
      <c r="AA354" s="17">
        <f>ROUND($B354*AA$305,2)</f>
        <v>0</v>
      </c>
      <c r="AB354" s="19">
        <f>SUM(U349:AA349)</f>
        <v>0</v>
      </c>
      <c r="AC354" s="67" t="str">
        <f>+F354</f>
        <v>SE0</v>
      </c>
    </row>
    <row r="355" spans="1:29" x14ac:dyDescent="0.2">
      <c r="A355" s="9"/>
      <c r="B355" s="103">
        <v>-1</v>
      </c>
      <c r="C355" s="34"/>
      <c r="F355" s="12"/>
      <c r="G355" s="12"/>
      <c r="H355" s="12"/>
      <c r="I355" s="19"/>
      <c r="J355" s="12"/>
      <c r="K355" s="35">
        <f>IF(D356&gt;K$306,+K$306,D356)</f>
        <v>0</v>
      </c>
      <c r="L355" s="35">
        <f>IF(D356&gt;K355,+D356-K355,0)</f>
        <v>0</v>
      </c>
      <c r="M355" s="34">
        <f>IF(B356&gt;D356,+B356-D356,0)</f>
        <v>0</v>
      </c>
      <c r="N355" s="34"/>
      <c r="O355" s="34"/>
      <c r="P355" s="34"/>
      <c r="Q355" s="34"/>
      <c r="R355" s="12"/>
      <c r="S355" s="50">
        <v>0.1</v>
      </c>
      <c r="T355" s="12"/>
      <c r="U355" s="12"/>
      <c r="V355" s="12"/>
      <c r="W355" s="12"/>
      <c r="X355" s="12"/>
      <c r="Y355" s="12"/>
      <c r="Z355" s="12"/>
      <c r="AA355" s="12"/>
    </row>
    <row r="356" spans="1:29" x14ac:dyDescent="0.2">
      <c r="A356" s="1" t="s">
        <v>164</v>
      </c>
      <c r="B356" s="103">
        <f>IF(AND('AES Indiana Bill Calc.'!$D$17="SE",'AES Indiana Bill Calc.'!$D$18="Yes 10%",'AES Indiana Bill Calc.'!$D$20="Yes 2020"),'AES Indiana Bill Calc.'!$D$19,-1)</f>
        <v>-1</v>
      </c>
      <c r="C356" s="103" t="b">
        <f>IF(AND('AES Indiana Bill Calc.'!$D$17="SE",'AES Indiana Bill Calc.'!$D$18="Yes 10%",'AES Indiana Bill Calc.'!$D$20="Yes 2020"),'AES Indiana Bill Calc.'!$D$23)</f>
        <v>0</v>
      </c>
      <c r="D356" s="2">
        <f>ROUND(C356*D$305,0)</f>
        <v>0</v>
      </c>
      <c r="F356" s="36" t="s">
        <v>188</v>
      </c>
      <c r="G356" s="17">
        <f>SUM(J356:M356,O356:P356,R356:AA356)</f>
        <v>55</v>
      </c>
      <c r="H356" s="19" t="e">
        <f>IF(ISBLANK(B356),0,+#REF!/B356)</f>
        <v>#REF!</v>
      </c>
      <c r="I356" s="19"/>
      <c r="J356" s="16">
        <f>IF(ISBLANK(B356),0,+J$305)</f>
        <v>55</v>
      </c>
      <c r="K356" s="16">
        <f>ROUND(K355*K$305,2)</f>
        <v>0</v>
      </c>
      <c r="L356" s="16">
        <f>ROUND(L355*L$305,2)</f>
        <v>0</v>
      </c>
      <c r="M356" s="16">
        <f>ROUND(M355*M$305,2)</f>
        <v>0</v>
      </c>
      <c r="N356" s="16">
        <f>SUM(K356:M356)</f>
        <v>0</v>
      </c>
      <c r="O356" s="16"/>
      <c r="P356" s="16"/>
      <c r="Q356" s="16"/>
      <c r="R356" s="8"/>
      <c r="S356" s="17">
        <f>ROUND($B356*S$305*S355,2)</f>
        <v>0</v>
      </c>
      <c r="T356" s="17">
        <f>ROUND($B356*T$305,2)</f>
        <v>0</v>
      </c>
      <c r="U356" s="17">
        <f>ROUND($B356*U$305,2)</f>
        <v>0</v>
      </c>
      <c r="V356" s="17">
        <f>ROUND($B356*V$300,2)</f>
        <v>0</v>
      </c>
      <c r="W356" s="17">
        <f>ROUND($B356*W$305,2)</f>
        <v>0</v>
      </c>
      <c r="X356" s="17">
        <f>ROUND($B356*X$305,2)</f>
        <v>0</v>
      </c>
      <c r="Y356" s="17">
        <f>ROUND($B356*Y$305,2)</f>
        <v>0</v>
      </c>
      <c r="Z356" s="17">
        <f>ROUND($B356*Z$305,2)</f>
        <v>0</v>
      </c>
      <c r="AA356" s="17">
        <f>ROUND($B356*AA$305,2)</f>
        <v>0</v>
      </c>
      <c r="AB356" s="19">
        <f>SUM(U351:AA351)</f>
        <v>0</v>
      </c>
      <c r="AC356" s="67" t="str">
        <f>+F356</f>
        <v>SE0</v>
      </c>
    </row>
    <row r="357" spans="1:29" x14ac:dyDescent="0.2">
      <c r="A357" s="9"/>
      <c r="B357" s="103">
        <v>-1</v>
      </c>
      <c r="C357" s="34"/>
      <c r="F357" s="12"/>
      <c r="G357" s="12"/>
      <c r="H357" s="12"/>
      <c r="I357" s="19"/>
      <c r="J357" s="12"/>
      <c r="K357" s="35">
        <f>IF(D358&gt;K$306,+K$306,D358)</f>
        <v>0</v>
      </c>
      <c r="L357" s="35">
        <f>IF(D358&gt;K357,+D358-K357,0)</f>
        <v>0</v>
      </c>
      <c r="M357" s="34">
        <f>IF(B358&gt;D358,+B358-D358,0)</f>
        <v>0</v>
      </c>
      <c r="N357" s="34"/>
      <c r="O357" s="34"/>
      <c r="P357" s="34"/>
      <c r="Q357" s="34"/>
      <c r="R357" s="12"/>
      <c r="S357" s="50">
        <v>0</v>
      </c>
      <c r="T357" s="12"/>
      <c r="U357" s="12"/>
      <c r="V357" s="12"/>
      <c r="W357" s="12"/>
      <c r="X357" s="12"/>
      <c r="Y357" s="12"/>
      <c r="Z357" s="12"/>
      <c r="AA357" s="12"/>
    </row>
    <row r="358" spans="1:29" x14ac:dyDescent="0.2">
      <c r="A358" s="1" t="s">
        <v>147</v>
      </c>
      <c r="B358" s="103">
        <f>IF(AND('AES Indiana Bill Calc.'!$D$17="SE",'AES Indiana Bill Calc.'!$D$18="No",'AES Indiana Bill Calc.'!$D$20="Yes 2020"),'AES Indiana Bill Calc.'!$D$19,-1)</f>
        <v>-1</v>
      </c>
      <c r="C358" s="103" t="b">
        <f>IF(AND('AES Indiana Bill Calc.'!$D$17="SE",'AES Indiana Bill Calc.'!$D$18="No",'AES Indiana Bill Calc.'!$D$20="Yes 2020"),'AES Indiana Bill Calc.'!$D$23)</f>
        <v>0</v>
      </c>
      <c r="D358" s="2">
        <f>ROUND(C358*D$305,0)</f>
        <v>0</v>
      </c>
      <c r="F358" s="36" t="s">
        <v>188</v>
      </c>
      <c r="G358" s="17">
        <f>SUM(J358:M358,O358:P358,R358:AA358)</f>
        <v>55</v>
      </c>
      <c r="H358" s="19" t="e">
        <f>IF(ISBLANK(B358),0,+#REF!/B358)</f>
        <v>#REF!</v>
      </c>
      <c r="I358" s="19"/>
      <c r="J358" s="16">
        <f>IF(ISBLANK(B358),0,+J$305)</f>
        <v>55</v>
      </c>
      <c r="K358" s="16">
        <f>ROUND(K357*K$305,2)</f>
        <v>0</v>
      </c>
      <c r="L358" s="16">
        <f>ROUND(L357*L$305,2)</f>
        <v>0</v>
      </c>
      <c r="M358" s="16">
        <f>ROUND(M357*M$305,2)</f>
        <v>0</v>
      </c>
      <c r="N358" s="16">
        <f>SUM(K358:M358)</f>
        <v>0</v>
      </c>
      <c r="O358" s="16"/>
      <c r="P358" s="16"/>
      <c r="Q358" s="16"/>
      <c r="R358" s="8"/>
      <c r="S358" s="17">
        <f>ROUND($B358*S$305*S357,2)</f>
        <v>0</v>
      </c>
      <c r="T358" s="17">
        <f>ROUND($B358*T$305,2)</f>
        <v>0</v>
      </c>
      <c r="U358" s="17">
        <f>ROUND($B358*U$305,2)</f>
        <v>0</v>
      </c>
      <c r="V358" s="17">
        <f>ROUND($B358*V$300,2)</f>
        <v>0</v>
      </c>
      <c r="W358" s="17">
        <f>ROUND($B358*W$305,2)</f>
        <v>0</v>
      </c>
      <c r="X358" s="17">
        <f>ROUND($B358*X$305,2)</f>
        <v>0</v>
      </c>
      <c r="Y358" s="17">
        <f>ROUND($B358*Y$305,2)</f>
        <v>0</v>
      </c>
      <c r="Z358" s="17">
        <f>ROUND($B358*Z$305,2)</f>
        <v>0</v>
      </c>
      <c r="AA358" s="17">
        <f>ROUND($B358*AA$305,2)</f>
        <v>0</v>
      </c>
      <c r="AB358" s="19">
        <f>SUM(U353:AA353)</f>
        <v>0</v>
      </c>
      <c r="AC358" s="67" t="str">
        <f>+F358</f>
        <v>SE0</v>
      </c>
    </row>
    <row r="359" spans="1:29" x14ac:dyDescent="0.2">
      <c r="B359" s="103">
        <v>-1</v>
      </c>
      <c r="C359" s="34"/>
      <c r="F359" s="12"/>
      <c r="G359" s="12"/>
      <c r="H359" s="12"/>
      <c r="I359" s="19"/>
      <c r="J359" s="12"/>
      <c r="K359" s="35">
        <f>IF(D360&gt;K$306,+K$306,D360)</f>
        <v>0</v>
      </c>
      <c r="L359" s="35">
        <f>IF(D360&gt;K359,+D360-K359,0)</f>
        <v>0</v>
      </c>
      <c r="M359" s="34">
        <f>IF(B360&gt;D360,+B360-D360,0)</f>
        <v>0</v>
      </c>
      <c r="N359" s="34"/>
      <c r="O359" s="34"/>
      <c r="P359" s="34"/>
      <c r="Q359" s="34"/>
      <c r="R359" s="12"/>
      <c r="S359" s="50">
        <v>1</v>
      </c>
      <c r="T359" s="12"/>
      <c r="U359" s="12"/>
      <c r="V359" s="12"/>
      <c r="W359" s="12"/>
      <c r="X359" s="12"/>
      <c r="Y359" s="12"/>
      <c r="Z359" s="12"/>
      <c r="AA359" s="12"/>
    </row>
    <row r="360" spans="1:29" x14ac:dyDescent="0.2">
      <c r="A360" s="1" t="s">
        <v>148</v>
      </c>
      <c r="B360" s="103">
        <f>IF(AND('AES Indiana Bill Calc.'!$D$17="SE",'AES Indiana Bill Calc.'!$D$18="Yes 100%",'AES Indiana Bill Calc.'!$D$20="Yes 2021"),'AES Indiana Bill Calc.'!$D$19,-1)</f>
        <v>-1</v>
      </c>
      <c r="C360" s="103" t="b">
        <f>IF(AND('AES Indiana Bill Calc.'!$D$17="SE",'AES Indiana Bill Calc.'!$D$18="Yes 100%",'AES Indiana Bill Calc.'!$D$20="Yes 2021"),'AES Indiana Bill Calc.'!$D$23)</f>
        <v>0</v>
      </c>
      <c r="D360" s="2">
        <f>ROUND(C360*D$305,0)</f>
        <v>0</v>
      </c>
      <c r="F360" s="36" t="s">
        <v>189</v>
      </c>
      <c r="G360" s="17">
        <f>SUM(J360:M360,O360:P360,R360:AA360)</f>
        <v>55</v>
      </c>
      <c r="H360" s="19" t="e">
        <f>IF(ISBLANK(B360),0,+#REF!/B360)</f>
        <v>#REF!</v>
      </c>
      <c r="I360" s="19"/>
      <c r="J360" s="16">
        <f>IF(ISBLANK(B360),0,+J$305)</f>
        <v>55</v>
      </c>
      <c r="K360" s="16">
        <f>ROUND(K359*K$305,2)</f>
        <v>0</v>
      </c>
      <c r="L360" s="16">
        <f>ROUND(L359*L$305,2)</f>
        <v>0</v>
      </c>
      <c r="M360" s="16">
        <f>ROUND(M359*M$305,2)</f>
        <v>0</v>
      </c>
      <c r="N360" s="16">
        <f>SUM(K360:M360)</f>
        <v>0</v>
      </c>
      <c r="O360" s="16"/>
      <c r="P360" s="16"/>
      <c r="Q360" s="16"/>
      <c r="R360" s="8"/>
      <c r="S360" s="17">
        <f>ROUND($B360*S$305*S359,2)</f>
        <v>0</v>
      </c>
      <c r="T360" s="17">
        <f>ROUND($B360*T$305,2)</f>
        <v>0</v>
      </c>
      <c r="U360" s="17">
        <f>ROUND($B360*U$305,2)</f>
        <v>0</v>
      </c>
      <c r="V360" s="17">
        <f>ROUND($B360*V$301,2)</f>
        <v>0</v>
      </c>
      <c r="W360" s="17">
        <f>ROUND($B360*W$305,2)</f>
        <v>0</v>
      </c>
      <c r="X360" s="17">
        <f>ROUND($B360*X$305,2)</f>
        <v>0</v>
      </c>
      <c r="Y360" s="17">
        <f>ROUND($B360*Y$305,2)</f>
        <v>0</v>
      </c>
      <c r="Z360" s="17">
        <f>ROUND($B360*Z$305,2)</f>
        <v>0</v>
      </c>
      <c r="AA360" s="17">
        <f>ROUND($B360*AA$305,2)</f>
        <v>0</v>
      </c>
      <c r="AB360" s="19">
        <f>SUM(U355:AA355)</f>
        <v>0</v>
      </c>
      <c r="AC360" s="67" t="str">
        <f>+F360</f>
        <v>SE1</v>
      </c>
    </row>
    <row r="361" spans="1:29" x14ac:dyDescent="0.2">
      <c r="A361" s="9"/>
      <c r="B361" s="103">
        <v>-1</v>
      </c>
      <c r="C361" s="34"/>
      <c r="F361" s="12"/>
      <c r="G361" s="12"/>
      <c r="H361" s="12"/>
      <c r="I361" s="19"/>
      <c r="J361" s="12"/>
      <c r="K361" s="35">
        <f>IF(D362&gt;K$306,+K$306,D362)</f>
        <v>0</v>
      </c>
      <c r="L361" s="35">
        <f>IF(D362&gt;K361,+D362-K361,0)</f>
        <v>0</v>
      </c>
      <c r="M361" s="34">
        <f>IF(B362&gt;D362,+B362-D362,0)</f>
        <v>0</v>
      </c>
      <c r="N361" s="34"/>
      <c r="O361" s="34"/>
      <c r="P361" s="34"/>
      <c r="Q361" s="34"/>
      <c r="R361" s="12"/>
      <c r="S361" s="50">
        <v>0.5</v>
      </c>
      <c r="T361" s="12"/>
      <c r="U361" s="12"/>
      <c r="V361" s="12"/>
      <c r="W361" s="12"/>
      <c r="X361" s="12"/>
      <c r="Y361" s="12"/>
      <c r="Z361" s="12"/>
      <c r="AA361" s="12"/>
    </row>
    <row r="362" spans="1:29" x14ac:dyDescent="0.2">
      <c r="A362" s="1" t="s">
        <v>149</v>
      </c>
      <c r="B362" s="103">
        <f>IF(AND('AES Indiana Bill Calc.'!$D$17="SE",'AES Indiana Bill Calc.'!$D$18="Yes 50%",'AES Indiana Bill Calc.'!$D$20="Yes 2021"),'AES Indiana Bill Calc.'!$D$19,-1)</f>
        <v>-1</v>
      </c>
      <c r="C362" s="103" t="b">
        <f>IF(AND('AES Indiana Bill Calc.'!$D$17="SE",'AES Indiana Bill Calc.'!$D$18="Yes 50%",'AES Indiana Bill Calc.'!$D$20="Yes 2021"),'AES Indiana Bill Calc.'!$D$23)</f>
        <v>0</v>
      </c>
      <c r="D362" s="2">
        <f>ROUND(C362*D$305,0)</f>
        <v>0</v>
      </c>
      <c r="F362" s="36" t="s">
        <v>189</v>
      </c>
      <c r="G362" s="17">
        <f>SUM(J362:M362,O362:P362,R362:AA362)</f>
        <v>55</v>
      </c>
      <c r="H362" s="19" t="e">
        <f>IF(ISBLANK(B362),0,+#REF!/B362)</f>
        <v>#REF!</v>
      </c>
      <c r="I362" s="19"/>
      <c r="J362" s="16">
        <f>IF(ISBLANK(B362),0,+J$305)</f>
        <v>55</v>
      </c>
      <c r="K362" s="16">
        <f>ROUND(K361*K$305,2)</f>
        <v>0</v>
      </c>
      <c r="L362" s="16">
        <f>ROUND(L361*L$305,2)</f>
        <v>0</v>
      </c>
      <c r="M362" s="16">
        <f>ROUND(M361*M$305,2)</f>
        <v>0</v>
      </c>
      <c r="N362" s="16">
        <f>SUM(K362:M362)</f>
        <v>0</v>
      </c>
      <c r="O362" s="16"/>
      <c r="P362" s="16"/>
      <c r="Q362" s="16"/>
      <c r="R362" s="8"/>
      <c r="S362" s="17">
        <f>ROUND($B362*S$305*S361,2)</f>
        <v>0</v>
      </c>
      <c r="T362" s="17">
        <f>ROUND($B362*T$305,2)</f>
        <v>0</v>
      </c>
      <c r="U362" s="17">
        <f>ROUND($B362*U$305,2)</f>
        <v>0</v>
      </c>
      <c r="V362" s="17">
        <f>ROUND($B362*V$301,2)</f>
        <v>0</v>
      </c>
      <c r="W362" s="17">
        <f>ROUND($B362*W$305,2)</f>
        <v>0</v>
      </c>
      <c r="X362" s="17">
        <f>ROUND($B362*X$305,2)</f>
        <v>0</v>
      </c>
      <c r="Y362" s="17">
        <f>ROUND($B362*Y$305,2)</f>
        <v>0</v>
      </c>
      <c r="Z362" s="17">
        <f>ROUND($B362*Z$305,2)</f>
        <v>0</v>
      </c>
      <c r="AA362" s="17">
        <f>ROUND($B362*AA$305,2)</f>
        <v>0</v>
      </c>
      <c r="AB362" s="19">
        <f>SUM(U357:AA357)</f>
        <v>0</v>
      </c>
      <c r="AC362" s="67" t="str">
        <f>+F362</f>
        <v>SE1</v>
      </c>
    </row>
    <row r="363" spans="1:29" x14ac:dyDescent="0.2">
      <c r="A363" s="9"/>
      <c r="B363" s="103">
        <v>-1</v>
      </c>
      <c r="C363" s="34"/>
      <c r="F363" s="12"/>
      <c r="G363" s="12"/>
      <c r="H363" s="12"/>
      <c r="I363" s="19"/>
      <c r="J363" s="12"/>
      <c r="K363" s="35">
        <f>IF(D364&gt;K$306,+K$306,D364)</f>
        <v>0</v>
      </c>
      <c r="L363" s="35">
        <f>IF(D364&gt;K363,+D364-K363,0)</f>
        <v>0</v>
      </c>
      <c r="M363" s="34">
        <f>IF(B364&gt;D364,+B364-D364,0)</f>
        <v>0</v>
      </c>
      <c r="N363" s="34"/>
      <c r="O363" s="34"/>
      <c r="P363" s="34"/>
      <c r="Q363" s="34"/>
      <c r="R363" s="12"/>
      <c r="S363" s="50">
        <v>0.25</v>
      </c>
      <c r="T363" s="12"/>
      <c r="U363" s="12"/>
      <c r="V363" s="12"/>
      <c r="W363" s="12"/>
      <c r="X363" s="12"/>
      <c r="Y363" s="12"/>
      <c r="Z363" s="12"/>
      <c r="AA363" s="12"/>
    </row>
    <row r="364" spans="1:29" x14ac:dyDescent="0.2">
      <c r="A364" s="1" t="s">
        <v>150</v>
      </c>
      <c r="B364" s="103">
        <f>IF(AND('AES Indiana Bill Calc.'!$D$17="SE",'AES Indiana Bill Calc.'!$D$18="Yes 25%",'AES Indiana Bill Calc.'!$D$20="Yes 2021"),'AES Indiana Bill Calc.'!$D$19,-1)</f>
        <v>-1</v>
      </c>
      <c r="C364" s="103" t="b">
        <f>IF(AND('AES Indiana Bill Calc.'!$D$17="SE",'AES Indiana Bill Calc.'!$D$18="Yes 25%",'AES Indiana Bill Calc.'!$D$20="Yes 2021"),'AES Indiana Bill Calc.'!$D$23)</f>
        <v>0</v>
      </c>
      <c r="D364" s="2">
        <f>ROUND(C364*D$305,0)</f>
        <v>0</v>
      </c>
      <c r="F364" s="36" t="s">
        <v>189</v>
      </c>
      <c r="G364" s="17">
        <f>SUM(J364:M364,O364:P364,R364:AA364)</f>
        <v>55</v>
      </c>
      <c r="H364" s="19" t="e">
        <f>IF(ISBLANK(B364),0,+#REF!/B364)</f>
        <v>#REF!</v>
      </c>
      <c r="I364" s="19"/>
      <c r="J364" s="16">
        <f>IF(ISBLANK(B364),0,+J$305)</f>
        <v>55</v>
      </c>
      <c r="K364" s="16">
        <f>ROUND(K363*K$305,2)</f>
        <v>0</v>
      </c>
      <c r="L364" s="16">
        <f>ROUND(L363*L$305,2)</f>
        <v>0</v>
      </c>
      <c r="M364" s="16">
        <f>ROUND(M363*M$305,2)</f>
        <v>0</v>
      </c>
      <c r="N364" s="16">
        <f>SUM(K364:M364)</f>
        <v>0</v>
      </c>
      <c r="O364" s="16"/>
      <c r="P364" s="16"/>
      <c r="Q364" s="16"/>
      <c r="R364" s="8"/>
      <c r="S364" s="17">
        <f>ROUND($B364*S$305*S363,2)</f>
        <v>0</v>
      </c>
      <c r="T364" s="17">
        <f>ROUND($B364*T$305,2)</f>
        <v>0</v>
      </c>
      <c r="U364" s="17">
        <f>ROUND($B364*U$305,2)</f>
        <v>0</v>
      </c>
      <c r="V364" s="17">
        <f>ROUND($B364*V$301,2)</f>
        <v>0</v>
      </c>
      <c r="W364" s="17">
        <f>ROUND($B364*W$305,2)</f>
        <v>0</v>
      </c>
      <c r="X364" s="17">
        <f>ROUND($B364*X$305,2)</f>
        <v>0</v>
      </c>
      <c r="Y364" s="17">
        <f>ROUND($B364*Y$305,2)</f>
        <v>0</v>
      </c>
      <c r="Z364" s="17">
        <f>ROUND($B364*Z$305,2)</f>
        <v>0</v>
      </c>
      <c r="AA364" s="17">
        <f>ROUND($B364*AA$305,2)</f>
        <v>0</v>
      </c>
      <c r="AB364" s="19">
        <f>SUM(U359:AA359)</f>
        <v>0</v>
      </c>
      <c r="AC364" s="67" t="str">
        <f>+F364</f>
        <v>SE1</v>
      </c>
    </row>
    <row r="365" spans="1:29" x14ac:dyDescent="0.2">
      <c r="A365" s="9"/>
      <c r="B365" s="103">
        <v>-1</v>
      </c>
      <c r="C365" s="34"/>
      <c r="F365" s="12"/>
      <c r="G365" s="12"/>
      <c r="H365" s="12"/>
      <c r="I365" s="19"/>
      <c r="J365" s="12"/>
      <c r="K365" s="35">
        <f>IF(D366&gt;K$306,+K$306,D366)</f>
        <v>0</v>
      </c>
      <c r="L365" s="35">
        <f>IF(D366&gt;K365,+D366-K365,0)</f>
        <v>0</v>
      </c>
      <c r="M365" s="34">
        <f>IF(B366&gt;D366,+B366-D366,0)</f>
        <v>0</v>
      </c>
      <c r="N365" s="34"/>
      <c r="O365" s="34"/>
      <c r="P365" s="34"/>
      <c r="Q365" s="34"/>
      <c r="R365" s="12"/>
      <c r="S365" s="50">
        <v>0.1</v>
      </c>
      <c r="T365" s="12"/>
      <c r="U365" s="12"/>
      <c r="V365" s="12"/>
      <c r="W365" s="12"/>
      <c r="X365" s="12"/>
      <c r="Y365" s="12"/>
      <c r="Z365" s="12"/>
      <c r="AA365" s="12"/>
    </row>
    <row r="366" spans="1:29" x14ac:dyDescent="0.2">
      <c r="A366" s="1" t="s">
        <v>164</v>
      </c>
      <c r="B366" s="103">
        <f>IF(AND('AES Indiana Bill Calc.'!$D$17="SE",'AES Indiana Bill Calc.'!$D$18="Yes 10%",'AES Indiana Bill Calc.'!$D$20="Yes 2021"),'AES Indiana Bill Calc.'!$D$19,-1)</f>
        <v>-1</v>
      </c>
      <c r="C366" s="103" t="b">
        <f>IF(AND('AES Indiana Bill Calc.'!$D$17="SE",'AES Indiana Bill Calc.'!$D$18="Yes 10%",'AES Indiana Bill Calc.'!$D$20="Yes 2021"),'AES Indiana Bill Calc.'!$D$23)</f>
        <v>0</v>
      </c>
      <c r="D366" s="2">
        <f>ROUND(C366*D$305,0)</f>
        <v>0</v>
      </c>
      <c r="F366" s="36" t="s">
        <v>189</v>
      </c>
      <c r="G366" s="17">
        <f>SUM(J366:M366,O366:P366,R366:AA366)</f>
        <v>55</v>
      </c>
      <c r="H366" s="19" t="e">
        <f>IF(ISBLANK(B366),0,+#REF!/B366)</f>
        <v>#REF!</v>
      </c>
      <c r="I366" s="19"/>
      <c r="J366" s="16">
        <f>IF(ISBLANK(B366),0,+J$305)</f>
        <v>55</v>
      </c>
      <c r="K366" s="16">
        <f>ROUND(K365*K$305,2)</f>
        <v>0</v>
      </c>
      <c r="L366" s="16">
        <f>ROUND(L365*L$305,2)</f>
        <v>0</v>
      </c>
      <c r="M366" s="16">
        <f>ROUND(M365*M$305,2)</f>
        <v>0</v>
      </c>
      <c r="N366" s="16">
        <f>SUM(K366:M366)</f>
        <v>0</v>
      </c>
      <c r="O366" s="16"/>
      <c r="P366" s="16"/>
      <c r="Q366" s="16"/>
      <c r="R366" s="8"/>
      <c r="S366" s="17">
        <f>ROUND($B366*S$305*S365,2)</f>
        <v>0</v>
      </c>
      <c r="T366" s="17">
        <f>ROUND($B366*T$305,2)</f>
        <v>0</v>
      </c>
      <c r="U366" s="17">
        <f>ROUND($B366*U$305,2)</f>
        <v>0</v>
      </c>
      <c r="V366" s="17">
        <f>ROUND($B366*V$301,2)</f>
        <v>0</v>
      </c>
      <c r="W366" s="17">
        <f>ROUND($B366*W$305,2)</f>
        <v>0</v>
      </c>
      <c r="X366" s="17">
        <f>ROUND($B366*X$305,2)</f>
        <v>0</v>
      </c>
      <c r="Y366" s="17">
        <f>ROUND($B366*Y$305,2)</f>
        <v>0</v>
      </c>
      <c r="Z366" s="17">
        <f>ROUND($B366*Z$305,2)</f>
        <v>0</v>
      </c>
      <c r="AA366" s="17">
        <f>ROUND($B366*AA$305,2)</f>
        <v>0</v>
      </c>
      <c r="AB366" s="19">
        <f>SUM(U361:AA361)</f>
        <v>0</v>
      </c>
      <c r="AC366" s="67" t="str">
        <f>+F366</f>
        <v>SE1</v>
      </c>
    </row>
    <row r="367" spans="1:29" x14ac:dyDescent="0.2">
      <c r="A367" s="9"/>
      <c r="B367" s="103">
        <v>-1</v>
      </c>
      <c r="C367" s="34"/>
      <c r="F367" s="12"/>
      <c r="G367" s="12"/>
      <c r="H367" s="12"/>
      <c r="I367" s="19"/>
      <c r="J367" s="12"/>
      <c r="K367" s="35">
        <f>IF(D368&gt;K$306,+K$306,D368)</f>
        <v>0</v>
      </c>
      <c r="L367" s="35">
        <f>IF(D368&gt;K367,+D368-K367,0)</f>
        <v>0</v>
      </c>
      <c r="M367" s="34">
        <f>IF(B368&gt;D368,+B368-D368,0)</f>
        <v>0</v>
      </c>
      <c r="N367" s="34"/>
      <c r="O367" s="34"/>
      <c r="P367" s="34"/>
      <c r="Q367" s="34"/>
      <c r="R367" s="12"/>
      <c r="S367" s="50">
        <v>0</v>
      </c>
      <c r="T367" s="12"/>
      <c r="U367" s="12"/>
      <c r="V367" s="12"/>
      <c r="W367" s="12"/>
      <c r="X367" s="12"/>
      <c r="Y367" s="12"/>
      <c r="Z367" s="12"/>
      <c r="AA367" s="12"/>
    </row>
    <row r="368" spans="1:29" x14ac:dyDescent="0.2">
      <c r="A368" s="1" t="s">
        <v>147</v>
      </c>
      <c r="B368" s="103">
        <f>IF(AND('AES Indiana Bill Calc.'!$D$17="SE",'AES Indiana Bill Calc.'!$D$18="No",'AES Indiana Bill Calc.'!$D$20="Yes 2021"),'AES Indiana Bill Calc.'!$D$19,-1)</f>
        <v>-1</v>
      </c>
      <c r="C368" s="103" t="b">
        <f>IF(AND('AES Indiana Bill Calc.'!$D$17="SE",'AES Indiana Bill Calc.'!$D$18="No",'AES Indiana Bill Calc.'!$D$20="Yes 2021"),'AES Indiana Bill Calc.'!$D$23)</f>
        <v>0</v>
      </c>
      <c r="D368" s="2">
        <f>ROUND(C368*D$305,0)</f>
        <v>0</v>
      </c>
      <c r="F368" s="36" t="s">
        <v>189</v>
      </c>
      <c r="G368" s="17">
        <f>SUM(J368:M368,O368:P368,R368:AA368)</f>
        <v>55</v>
      </c>
      <c r="H368" s="19" t="e">
        <f>IF(ISBLANK(B368),0,+#REF!/B368)</f>
        <v>#REF!</v>
      </c>
      <c r="I368" s="19"/>
      <c r="J368" s="16">
        <f>IF(ISBLANK(B368),0,+J$305)</f>
        <v>55</v>
      </c>
      <c r="K368" s="16">
        <f>ROUND(K367*K$305,2)</f>
        <v>0</v>
      </c>
      <c r="L368" s="16">
        <f>ROUND(L367*L$305,2)</f>
        <v>0</v>
      </c>
      <c r="M368" s="16">
        <f>ROUND(M367*M$305,2)</f>
        <v>0</v>
      </c>
      <c r="N368" s="16">
        <f>SUM(K368:M368)</f>
        <v>0</v>
      </c>
      <c r="O368" s="16"/>
      <c r="P368" s="16"/>
      <c r="Q368" s="16"/>
      <c r="R368" s="8"/>
      <c r="S368" s="17">
        <f>ROUND($B368*S$305*S367,2)</f>
        <v>0</v>
      </c>
      <c r="T368" s="17">
        <f>ROUND($B368*T$305,2)</f>
        <v>0</v>
      </c>
      <c r="U368" s="17">
        <f>ROUND($B368*U$305,2)</f>
        <v>0</v>
      </c>
      <c r="V368" s="17">
        <f>ROUND($B368*V$301,2)</f>
        <v>0</v>
      </c>
      <c r="W368" s="17">
        <f>ROUND($B368*W$305,2)</f>
        <v>0</v>
      </c>
      <c r="X368" s="17">
        <f>ROUND($B368*X$305,2)</f>
        <v>0</v>
      </c>
      <c r="Y368" s="17">
        <f>ROUND($B368*Y$305,2)</f>
        <v>0</v>
      </c>
      <c r="Z368" s="17">
        <f>ROUND($B368*Z$305,2)</f>
        <v>0</v>
      </c>
      <c r="AA368" s="17">
        <f>ROUND($B368*AA$305,2)</f>
        <v>0</v>
      </c>
      <c r="AB368" s="19">
        <f>SUM(U363:AA363)</f>
        <v>0</v>
      </c>
      <c r="AC368" s="67" t="str">
        <f>+F368</f>
        <v>SE1</v>
      </c>
    </row>
    <row r="369" spans="1:29" x14ac:dyDescent="0.2">
      <c r="B369" s="103">
        <v>-1</v>
      </c>
      <c r="C369" s="34"/>
      <c r="F369" s="12"/>
      <c r="G369" s="12"/>
      <c r="H369" s="12"/>
      <c r="I369" s="19"/>
      <c r="J369" s="12"/>
      <c r="K369" s="35">
        <f>IF(D370&gt;K$306,+K$306,D370)</f>
        <v>0</v>
      </c>
      <c r="L369" s="35">
        <f>IF(D370&gt;K369,+D370-K369,0)</f>
        <v>0</v>
      </c>
      <c r="M369" s="34">
        <f>IF(B370&gt;D370,+B370-D370,0)</f>
        <v>0</v>
      </c>
      <c r="N369" s="34"/>
      <c r="O369" s="34"/>
      <c r="P369" s="34"/>
      <c r="Q369" s="34"/>
      <c r="R369" s="12"/>
      <c r="S369" s="50">
        <v>1</v>
      </c>
      <c r="T369" s="12"/>
      <c r="U369" s="12"/>
      <c r="V369" s="12"/>
      <c r="W369" s="12"/>
      <c r="X369" s="12"/>
      <c r="Y369" s="12"/>
      <c r="Z369" s="12"/>
      <c r="AA369" s="12"/>
    </row>
    <row r="370" spans="1:29" x14ac:dyDescent="0.2">
      <c r="A370" s="1" t="s">
        <v>148</v>
      </c>
      <c r="B370" s="103">
        <f>IF(AND('AES Indiana Bill Calc.'!$D$17="SE",'AES Indiana Bill Calc.'!$D$18="Yes 100%",'AES Indiana Bill Calc.'!$D$20="Yes 2022"),'AES Indiana Bill Calc.'!$D$19,-1)</f>
        <v>-1</v>
      </c>
      <c r="C370" s="103" t="b">
        <f>IF(AND('AES Indiana Bill Calc.'!$D$17="SE",'AES Indiana Bill Calc.'!$D$18="Yes 100%",'AES Indiana Bill Calc.'!$D$20="Yes 2022"),'AES Indiana Bill Calc.'!$D$23)</f>
        <v>0</v>
      </c>
      <c r="D370" s="2">
        <f>ROUND(C370*D$305,0)</f>
        <v>0</v>
      </c>
      <c r="F370" s="36" t="s">
        <v>190</v>
      </c>
      <c r="G370" s="17">
        <f>SUM(J370:M370,O370:P370,R370:AA370)</f>
        <v>55</v>
      </c>
      <c r="H370" s="19" t="e">
        <f>IF(ISBLANK(B370),0,+#REF!/B370)</f>
        <v>#REF!</v>
      </c>
      <c r="I370" s="19"/>
      <c r="J370" s="16">
        <f>IF(ISBLANK(B370),0,+J$305)</f>
        <v>55</v>
      </c>
      <c r="K370" s="16">
        <f>ROUND(K369*K$305,2)</f>
        <v>0</v>
      </c>
      <c r="L370" s="16">
        <f>ROUND(L369*L$305,2)</f>
        <v>0</v>
      </c>
      <c r="M370" s="16">
        <f>ROUND(M369*M$305,2)</f>
        <v>0</v>
      </c>
      <c r="N370" s="16">
        <f>SUM(K370:M370)</f>
        <v>0</v>
      </c>
      <c r="O370" s="16"/>
      <c r="P370" s="16"/>
      <c r="Q370" s="16"/>
      <c r="R370" s="8"/>
      <c r="S370" s="17">
        <f>ROUND($B370*S$305*S369,2)</f>
        <v>0</v>
      </c>
      <c r="T370" s="17">
        <f>ROUND($B370*T$305,2)</f>
        <v>0</v>
      </c>
      <c r="U370" s="17">
        <f>ROUND($B370*U$305,2)</f>
        <v>0</v>
      </c>
      <c r="V370" s="17">
        <f>ROUND($B370*V$302,2)</f>
        <v>0</v>
      </c>
      <c r="W370" s="17">
        <f>ROUND($B370*W$305,2)</f>
        <v>0</v>
      </c>
      <c r="X370" s="17">
        <f>ROUND($B370*X$305,2)</f>
        <v>0</v>
      </c>
      <c r="Y370" s="17">
        <f>ROUND($B370*Y$305,2)</f>
        <v>0</v>
      </c>
      <c r="Z370" s="17">
        <f>ROUND($B370*Z$305,2)</f>
        <v>0</v>
      </c>
      <c r="AA370" s="17">
        <f>ROUND($B370*AA$305,2)</f>
        <v>0</v>
      </c>
      <c r="AB370" s="19">
        <f>SUM(U365:AA365)</f>
        <v>0</v>
      </c>
      <c r="AC370" s="67" t="str">
        <f>+F370</f>
        <v>SE2</v>
      </c>
    </row>
    <row r="371" spans="1:29" x14ac:dyDescent="0.2">
      <c r="A371" s="9"/>
      <c r="B371" s="103">
        <v>-1</v>
      </c>
      <c r="C371" s="34"/>
      <c r="F371" s="12"/>
      <c r="G371" s="12"/>
      <c r="H371" s="12"/>
      <c r="I371" s="19"/>
      <c r="J371" s="12"/>
      <c r="K371" s="35">
        <f>IF(D372&gt;K$306,+K$306,D372)</f>
        <v>0</v>
      </c>
      <c r="L371" s="35">
        <f>IF(D372&gt;K371,+D372-K371,0)</f>
        <v>0</v>
      </c>
      <c r="M371" s="34">
        <f>IF(B372&gt;D372,+B372-D372,0)</f>
        <v>0</v>
      </c>
      <c r="N371" s="34"/>
      <c r="O371" s="34"/>
      <c r="P371" s="34"/>
      <c r="Q371" s="34"/>
      <c r="R371" s="12"/>
      <c r="S371" s="50">
        <v>0.5</v>
      </c>
      <c r="T371" s="12"/>
      <c r="U371" s="12"/>
      <c r="V371" s="12"/>
      <c r="W371" s="12"/>
      <c r="X371" s="12"/>
      <c r="Y371" s="12"/>
      <c r="Z371" s="12"/>
      <c r="AA371" s="12"/>
    </row>
    <row r="372" spans="1:29" x14ac:dyDescent="0.2">
      <c r="A372" s="1" t="s">
        <v>149</v>
      </c>
      <c r="B372" s="103">
        <f>IF(AND('AES Indiana Bill Calc.'!$D$17="SE",'AES Indiana Bill Calc.'!$D$18="Yes 50%",'AES Indiana Bill Calc.'!$D$20="Yes 2022"),'AES Indiana Bill Calc.'!$D$19,-1)</f>
        <v>-1</v>
      </c>
      <c r="C372" s="103" t="b">
        <f>IF(AND('AES Indiana Bill Calc.'!$D$17="SE",'AES Indiana Bill Calc.'!$D$18="Yes 50%",'AES Indiana Bill Calc.'!$D$20="Yes 2022"),'AES Indiana Bill Calc.'!$D$23)</f>
        <v>0</v>
      </c>
      <c r="D372" s="2">
        <f>ROUND(C372*D$305,0)</f>
        <v>0</v>
      </c>
      <c r="F372" s="36" t="s">
        <v>190</v>
      </c>
      <c r="G372" s="17">
        <f>SUM(J372:M372,O372:P372,R372:AA372)</f>
        <v>55</v>
      </c>
      <c r="H372" s="19" t="e">
        <f>IF(ISBLANK(B372),0,+#REF!/B372)</f>
        <v>#REF!</v>
      </c>
      <c r="I372" s="19"/>
      <c r="J372" s="16">
        <f>IF(ISBLANK(B372),0,+J$305)</f>
        <v>55</v>
      </c>
      <c r="K372" s="16">
        <f>ROUND(K371*K$305,2)</f>
        <v>0</v>
      </c>
      <c r="L372" s="16">
        <f>ROUND(L371*L$305,2)</f>
        <v>0</v>
      </c>
      <c r="M372" s="16">
        <f>ROUND(M371*M$305,2)</f>
        <v>0</v>
      </c>
      <c r="N372" s="16">
        <f>SUM(K372:M372)</f>
        <v>0</v>
      </c>
      <c r="O372" s="16"/>
      <c r="P372" s="16"/>
      <c r="Q372" s="16"/>
      <c r="R372" s="8"/>
      <c r="S372" s="17">
        <f>ROUND($B372*S$305*S371,2)</f>
        <v>0</v>
      </c>
      <c r="T372" s="17">
        <f>ROUND($B372*T$305,2)</f>
        <v>0</v>
      </c>
      <c r="U372" s="17">
        <f>ROUND($B372*U$305,2)</f>
        <v>0</v>
      </c>
      <c r="V372" s="17">
        <f>ROUND($B372*V$302,2)</f>
        <v>0</v>
      </c>
      <c r="W372" s="17">
        <f>ROUND($B372*W$305,2)</f>
        <v>0</v>
      </c>
      <c r="X372" s="17">
        <f>ROUND($B372*X$305,2)</f>
        <v>0</v>
      </c>
      <c r="Y372" s="17">
        <f>ROUND($B372*Y$305,2)</f>
        <v>0</v>
      </c>
      <c r="Z372" s="17">
        <f>ROUND($B372*Z$305,2)</f>
        <v>0</v>
      </c>
      <c r="AA372" s="17">
        <f>ROUND($B372*AA$305,2)</f>
        <v>0</v>
      </c>
      <c r="AB372" s="19">
        <f>SUM(U367:AA367)</f>
        <v>0</v>
      </c>
      <c r="AC372" s="67" t="str">
        <f>+F372</f>
        <v>SE2</v>
      </c>
    </row>
    <row r="373" spans="1:29" x14ac:dyDescent="0.2">
      <c r="A373" s="9"/>
      <c r="B373" s="103">
        <v>-1</v>
      </c>
      <c r="C373" s="34"/>
      <c r="F373" s="12"/>
      <c r="G373" s="12"/>
      <c r="H373" s="12"/>
      <c r="I373" s="19"/>
      <c r="J373" s="12"/>
      <c r="K373" s="35">
        <f>IF(D374&gt;K$306,+K$306,D374)</f>
        <v>0</v>
      </c>
      <c r="L373" s="35">
        <f>IF(D374&gt;K373,+D374-K373,0)</f>
        <v>0</v>
      </c>
      <c r="M373" s="34">
        <f>IF(B374&gt;D374,+B374-D374,0)</f>
        <v>0</v>
      </c>
      <c r="N373" s="34"/>
      <c r="O373" s="34"/>
      <c r="P373" s="34"/>
      <c r="Q373" s="34"/>
      <c r="R373" s="12"/>
      <c r="S373" s="50">
        <v>0.25</v>
      </c>
      <c r="T373" s="12"/>
      <c r="U373" s="12"/>
      <c r="V373" s="12"/>
      <c r="W373" s="12"/>
      <c r="X373" s="12"/>
      <c r="Y373" s="12"/>
      <c r="Z373" s="12"/>
      <c r="AA373" s="12"/>
    </row>
    <row r="374" spans="1:29" x14ac:dyDescent="0.2">
      <c r="A374" s="1" t="s">
        <v>150</v>
      </c>
      <c r="B374" s="103">
        <f>IF(AND('AES Indiana Bill Calc.'!$D$17="SE",'AES Indiana Bill Calc.'!$D$18="Yes 25%",'AES Indiana Bill Calc.'!$D$20="Yes 2022"),'AES Indiana Bill Calc.'!$D$19,-1)</f>
        <v>-1</v>
      </c>
      <c r="C374" s="103" t="b">
        <f>IF(AND('AES Indiana Bill Calc.'!$D$17="SE",'AES Indiana Bill Calc.'!$D$18="Yes 25%",'AES Indiana Bill Calc.'!$D$20="Yes 2022"),'AES Indiana Bill Calc.'!$D$23)</f>
        <v>0</v>
      </c>
      <c r="D374" s="2">
        <f>ROUND(C374*D$305,0)</f>
        <v>0</v>
      </c>
      <c r="F374" s="36" t="s">
        <v>190</v>
      </c>
      <c r="G374" s="17">
        <f>SUM(J374:M374,O374:P374,R374:AA374)</f>
        <v>55</v>
      </c>
      <c r="H374" s="19" t="e">
        <f>IF(ISBLANK(B374),0,+#REF!/B374)</f>
        <v>#REF!</v>
      </c>
      <c r="I374" s="19"/>
      <c r="J374" s="16">
        <f>IF(ISBLANK(B374),0,+J$305)</f>
        <v>55</v>
      </c>
      <c r="K374" s="16">
        <f>ROUND(K373*K$305,2)</f>
        <v>0</v>
      </c>
      <c r="L374" s="16">
        <f>ROUND(L373*L$305,2)</f>
        <v>0</v>
      </c>
      <c r="M374" s="16">
        <f>ROUND(M373*M$305,2)</f>
        <v>0</v>
      </c>
      <c r="N374" s="16">
        <f>SUM(K374:M374)</f>
        <v>0</v>
      </c>
      <c r="O374" s="16"/>
      <c r="P374" s="16"/>
      <c r="Q374" s="16"/>
      <c r="R374" s="8"/>
      <c r="S374" s="17">
        <f>ROUND($B374*S$305*S373,2)</f>
        <v>0</v>
      </c>
      <c r="T374" s="17">
        <f>ROUND($B374*T$305,2)</f>
        <v>0</v>
      </c>
      <c r="U374" s="17">
        <f>ROUND($B374*U$305,2)</f>
        <v>0</v>
      </c>
      <c r="V374" s="17">
        <f>ROUND($B374*V$302,2)</f>
        <v>0</v>
      </c>
      <c r="W374" s="17">
        <f>ROUND($B374*W$305,2)</f>
        <v>0</v>
      </c>
      <c r="X374" s="17">
        <f>ROUND($B374*X$305,2)</f>
        <v>0</v>
      </c>
      <c r="Y374" s="17">
        <f>ROUND($B374*Y$305,2)</f>
        <v>0</v>
      </c>
      <c r="Z374" s="17">
        <f>ROUND($B374*Z$305,2)</f>
        <v>0</v>
      </c>
      <c r="AA374" s="17">
        <f>ROUND($B374*AA$305,2)</f>
        <v>0</v>
      </c>
      <c r="AB374" s="19">
        <f>SUM(U369:AA369)</f>
        <v>0</v>
      </c>
      <c r="AC374" s="67" t="str">
        <f>+F374</f>
        <v>SE2</v>
      </c>
    </row>
    <row r="375" spans="1:29" x14ac:dyDescent="0.2">
      <c r="A375" s="9"/>
      <c r="B375" s="103">
        <v>-1</v>
      </c>
      <c r="C375" s="34"/>
      <c r="F375" s="12"/>
      <c r="G375" s="12"/>
      <c r="H375" s="12"/>
      <c r="I375" s="19"/>
      <c r="J375" s="12"/>
      <c r="K375" s="35">
        <f>IF(D376&gt;K$306,+K$306,D376)</f>
        <v>0</v>
      </c>
      <c r="L375" s="35">
        <f>IF(D376&gt;K375,+D376-K375,0)</f>
        <v>0</v>
      </c>
      <c r="M375" s="34">
        <f>IF(B376&gt;D376,+B376-D376,0)</f>
        <v>0</v>
      </c>
      <c r="N375" s="34"/>
      <c r="O375" s="34"/>
      <c r="P375" s="34"/>
      <c r="Q375" s="34"/>
      <c r="R375" s="12"/>
      <c r="S375" s="50">
        <v>0.1</v>
      </c>
      <c r="T375" s="12"/>
      <c r="U375" s="12"/>
      <c r="V375" s="12"/>
      <c r="W375" s="12"/>
      <c r="X375" s="12"/>
      <c r="Y375" s="12"/>
      <c r="Z375" s="12"/>
      <c r="AA375" s="12"/>
    </row>
    <row r="376" spans="1:29" x14ac:dyDescent="0.2">
      <c r="A376" s="1" t="s">
        <v>164</v>
      </c>
      <c r="B376" s="103">
        <f>IF(AND('AES Indiana Bill Calc.'!$D$17="SE",'AES Indiana Bill Calc.'!$D$18="Yes 10%",'AES Indiana Bill Calc.'!$D$20="Yes 2022"),'AES Indiana Bill Calc.'!$D$19,-1)</f>
        <v>-1</v>
      </c>
      <c r="C376" s="103" t="b">
        <f>IF(AND('AES Indiana Bill Calc.'!$D$17="SE",'AES Indiana Bill Calc.'!$D$18="Yes 10%",'AES Indiana Bill Calc.'!$D$20="Yes 2022"),'AES Indiana Bill Calc.'!$D$23)</f>
        <v>0</v>
      </c>
      <c r="D376" s="2">
        <f>ROUND(C376*D$305,0)</f>
        <v>0</v>
      </c>
      <c r="F376" s="36" t="s">
        <v>190</v>
      </c>
      <c r="G376" s="17">
        <f>SUM(J376:M376,O376:P376,R376:AA376)</f>
        <v>55</v>
      </c>
      <c r="H376" s="19" t="e">
        <f>IF(ISBLANK(B376),0,+#REF!/B376)</f>
        <v>#REF!</v>
      </c>
      <c r="I376" s="19"/>
      <c r="J376" s="16">
        <f>IF(ISBLANK(B376),0,+J$305)</f>
        <v>55</v>
      </c>
      <c r="K376" s="16">
        <f>ROUND(K375*K$305,2)</f>
        <v>0</v>
      </c>
      <c r="L376" s="16">
        <f>ROUND(L375*L$305,2)</f>
        <v>0</v>
      </c>
      <c r="M376" s="16">
        <f>ROUND(M375*M$305,2)</f>
        <v>0</v>
      </c>
      <c r="N376" s="16">
        <f>SUM(K376:M376)</f>
        <v>0</v>
      </c>
      <c r="O376" s="16"/>
      <c r="P376" s="16"/>
      <c r="Q376" s="16"/>
      <c r="R376" s="8"/>
      <c r="S376" s="17">
        <f>ROUND($B376*S$305*S375,2)</f>
        <v>0</v>
      </c>
      <c r="T376" s="17">
        <f>ROUND($B376*T$305,2)</f>
        <v>0</v>
      </c>
      <c r="U376" s="17">
        <f>ROUND($B376*U$305,2)</f>
        <v>0</v>
      </c>
      <c r="V376" s="17">
        <f>ROUND($B376*V$302,2)</f>
        <v>0</v>
      </c>
      <c r="W376" s="17">
        <f>ROUND($B376*W$305,2)</f>
        <v>0</v>
      </c>
      <c r="X376" s="17">
        <f>ROUND($B376*X$305,2)</f>
        <v>0</v>
      </c>
      <c r="Y376" s="17">
        <f>ROUND($B376*Y$305,2)</f>
        <v>0</v>
      </c>
      <c r="Z376" s="17">
        <f>ROUND($B376*Z$305,2)</f>
        <v>0</v>
      </c>
      <c r="AA376" s="17">
        <f>ROUND($B376*AA$305,2)</f>
        <v>0</v>
      </c>
      <c r="AB376" s="19">
        <f>SUM(U371:AA371)</f>
        <v>0</v>
      </c>
      <c r="AC376" s="67" t="str">
        <f>+F376</f>
        <v>SE2</v>
      </c>
    </row>
    <row r="377" spans="1:29" x14ac:dyDescent="0.2">
      <c r="A377" s="9"/>
      <c r="B377" s="103">
        <v>-1</v>
      </c>
      <c r="C377" s="34"/>
      <c r="F377" s="12"/>
      <c r="G377" s="12"/>
      <c r="H377" s="12"/>
      <c r="I377" s="19"/>
      <c r="J377" s="12"/>
      <c r="K377" s="35">
        <f>IF(D378&gt;K$306,+K$306,D378)</f>
        <v>0</v>
      </c>
      <c r="L377" s="35">
        <f>IF(D378&gt;K377,+D378-K377,0)</f>
        <v>0</v>
      </c>
      <c r="M377" s="34">
        <f>IF(B378&gt;D378,+B378-D378,0)</f>
        <v>0</v>
      </c>
      <c r="N377" s="34"/>
      <c r="O377" s="34"/>
      <c r="P377" s="34"/>
      <c r="Q377" s="34"/>
      <c r="R377" s="12"/>
      <c r="S377" s="50">
        <v>0</v>
      </c>
      <c r="T377" s="12"/>
      <c r="U377" s="12"/>
      <c r="V377" s="12"/>
      <c r="W377" s="12"/>
      <c r="X377" s="12"/>
      <c r="Y377" s="12"/>
      <c r="Z377" s="12"/>
      <c r="AA377" s="12"/>
    </row>
    <row r="378" spans="1:29" x14ac:dyDescent="0.2">
      <c r="A378" s="1" t="s">
        <v>147</v>
      </c>
      <c r="B378" s="103">
        <f>IF(AND('AES Indiana Bill Calc.'!$D$17="SE",'AES Indiana Bill Calc.'!$D$18="No",'AES Indiana Bill Calc.'!$D$20="Yes 2022"),'AES Indiana Bill Calc.'!$D$19,-1)</f>
        <v>-1</v>
      </c>
      <c r="C378" s="103" t="b">
        <f>IF(AND('AES Indiana Bill Calc.'!$D$17="SE",'AES Indiana Bill Calc.'!$D$18="No",'AES Indiana Bill Calc.'!$D$20="Yes 2022"),'AES Indiana Bill Calc.'!$D$23)</f>
        <v>0</v>
      </c>
      <c r="D378" s="2">
        <f>ROUND(C378*D$305,0)</f>
        <v>0</v>
      </c>
      <c r="F378" s="36" t="s">
        <v>190</v>
      </c>
      <c r="G378" s="17">
        <f>SUM(J378:M378,O378:P378,R378:AA378)</f>
        <v>55</v>
      </c>
      <c r="H378" s="19" t="e">
        <f>IF(ISBLANK(B378),0,+#REF!/B378)</f>
        <v>#REF!</v>
      </c>
      <c r="I378" s="19"/>
      <c r="J378" s="16">
        <f>IF(ISBLANK(B378),0,+J$305)</f>
        <v>55</v>
      </c>
      <c r="K378" s="16">
        <f>ROUND(K377*K$305,2)</f>
        <v>0</v>
      </c>
      <c r="L378" s="16">
        <f>ROUND(L377*L$305,2)</f>
        <v>0</v>
      </c>
      <c r="M378" s="16">
        <f>ROUND(M377*M$305,2)</f>
        <v>0</v>
      </c>
      <c r="N378" s="16">
        <f>SUM(K378:M378)</f>
        <v>0</v>
      </c>
      <c r="O378" s="16"/>
      <c r="P378" s="16"/>
      <c r="Q378" s="16"/>
      <c r="R378" s="8"/>
      <c r="S378" s="17">
        <f>ROUND($B378*S$305*S377,2)</f>
        <v>0</v>
      </c>
      <c r="T378" s="17">
        <f>ROUND($B378*T$305,2)</f>
        <v>0</v>
      </c>
      <c r="U378" s="17">
        <f>ROUND($B378*U$305,2)</f>
        <v>0</v>
      </c>
      <c r="V378" s="17">
        <f>ROUND($B378*V$302,2)</f>
        <v>0</v>
      </c>
      <c r="W378" s="17">
        <f>ROUND($B378*W$305,2)</f>
        <v>0</v>
      </c>
      <c r="X378" s="17">
        <f>ROUND($B378*X$305,2)</f>
        <v>0</v>
      </c>
      <c r="Y378" s="17">
        <f>ROUND($B378*Y$305,2)</f>
        <v>0</v>
      </c>
      <c r="Z378" s="17">
        <f>ROUND($B378*Z$305,2)</f>
        <v>0</v>
      </c>
      <c r="AA378" s="17">
        <f>ROUND($B378*AA$305,2)</f>
        <v>0</v>
      </c>
      <c r="AB378" s="19">
        <f>SUM(U373:AA373)</f>
        <v>0</v>
      </c>
      <c r="AC378" s="67" t="str">
        <f>+F378</f>
        <v>SE2</v>
      </c>
    </row>
    <row r="379" spans="1:29" x14ac:dyDescent="0.2">
      <c r="A379" s="1"/>
      <c r="B379" s="103">
        <v>-1</v>
      </c>
      <c r="C379" s="103"/>
      <c r="D379" s="2"/>
      <c r="F379" s="36"/>
      <c r="G379" s="17"/>
      <c r="H379" s="19"/>
      <c r="I379" s="19"/>
      <c r="J379" s="16"/>
      <c r="K379" s="16"/>
      <c r="L379" s="16"/>
      <c r="M379" s="16"/>
      <c r="N379" s="16"/>
      <c r="O379" s="16"/>
      <c r="P379" s="16"/>
      <c r="Q379" s="16"/>
      <c r="R379" s="8"/>
      <c r="S379" s="50">
        <v>1</v>
      </c>
      <c r="T379" s="17"/>
      <c r="U379" s="17"/>
      <c r="V379" s="17"/>
      <c r="W379" s="17"/>
      <c r="X379" s="17"/>
      <c r="Y379" s="17"/>
      <c r="Z379" s="17"/>
      <c r="AA379" s="17"/>
      <c r="AB379" s="19"/>
      <c r="AC379" s="67"/>
    </row>
    <row r="380" spans="1:29" x14ac:dyDescent="0.2">
      <c r="A380" s="1" t="s">
        <v>148</v>
      </c>
      <c r="B380" s="103">
        <f>IF(AND('AES Indiana Bill Calc.'!$D$17="SE",'AES Indiana Bill Calc.'!$D$18="Yes 100%",'AES Indiana Bill Calc.'!$D$20="Yes 2023"),'AES Indiana Bill Calc.'!$D$19,-1)</f>
        <v>-1</v>
      </c>
      <c r="C380" s="103" t="b">
        <f>IF(AND('AES Indiana Bill Calc.'!$D$17="SE",'AES Indiana Bill Calc.'!$D$18="Yes 100%",'AES Indiana Bill Calc.'!$D$20="Yes 2022"),'AES Indiana Bill Calc.'!$D$23)</f>
        <v>0</v>
      </c>
      <c r="D380" s="2">
        <f>ROUND(C380*D$305,0)</f>
        <v>0</v>
      </c>
      <c r="F380" s="36" t="s">
        <v>191</v>
      </c>
      <c r="G380" s="17">
        <f>SUM(J380:M380,O380:P380,R380:AA380)</f>
        <v>55</v>
      </c>
      <c r="H380" s="19" t="e">
        <f>IF(ISBLANK(B380),0,+#REF!/B380)</f>
        <v>#REF!</v>
      </c>
      <c r="I380" s="19"/>
      <c r="J380" s="16">
        <f>IF(ISBLANK(B380),0,+J$305)</f>
        <v>55</v>
      </c>
      <c r="K380" s="16">
        <f>ROUND(K379*K$305,2)</f>
        <v>0</v>
      </c>
      <c r="L380" s="16">
        <f>ROUND(L379*L$305,2)</f>
        <v>0</v>
      </c>
      <c r="M380" s="16">
        <f>ROUND(M379*M$305,2)</f>
        <v>0</v>
      </c>
      <c r="N380" s="16">
        <f>SUM(K380:M380)</f>
        <v>0</v>
      </c>
      <c r="O380" s="16"/>
      <c r="P380" s="16"/>
      <c r="Q380" s="16"/>
      <c r="R380" s="8"/>
      <c r="S380" s="17">
        <f>ROUND($B380*S$305*S379,2)</f>
        <v>0</v>
      </c>
      <c r="T380" s="17">
        <f>ROUND($B380*T$305,2)</f>
        <v>0</v>
      </c>
      <c r="U380" s="17">
        <f>ROUND($B380*U$305,2)</f>
        <v>0</v>
      </c>
      <c r="V380" s="17">
        <f>ROUND($B380*V$303,2)</f>
        <v>0</v>
      </c>
      <c r="W380" s="17">
        <f>ROUND($B380*W$305,2)</f>
        <v>0</v>
      </c>
      <c r="X380" s="17">
        <f>ROUND($B380*X$305,2)</f>
        <v>0</v>
      </c>
      <c r="Y380" s="17">
        <f>ROUND($B380*Y$305,2)</f>
        <v>0</v>
      </c>
      <c r="Z380" s="17">
        <f>ROUND($B380*Z$305,2)</f>
        <v>0</v>
      </c>
      <c r="AA380" s="17">
        <f>ROUND($B380*AA$305,2)</f>
        <v>0</v>
      </c>
      <c r="AB380" s="19">
        <f>SUM(U375:AA375)</f>
        <v>0</v>
      </c>
      <c r="AC380" s="67" t="str">
        <f>+F380</f>
        <v>SE3</v>
      </c>
    </row>
    <row r="381" spans="1:29" x14ac:dyDescent="0.2">
      <c r="A381" s="9"/>
      <c r="B381" s="103">
        <v>-1</v>
      </c>
      <c r="C381" s="34"/>
      <c r="F381" s="12"/>
      <c r="G381" s="12"/>
      <c r="H381" s="12"/>
      <c r="I381" s="19"/>
      <c r="J381" s="12"/>
      <c r="K381" s="35">
        <f>IF(D382&gt;K$306,+K$306,D382)</f>
        <v>0</v>
      </c>
      <c r="L381" s="35">
        <f>IF(D382&gt;K381,+D382-K381,0)</f>
        <v>0</v>
      </c>
      <c r="M381" s="34">
        <f>IF(B382&gt;D382,+B382-D382,0)</f>
        <v>0</v>
      </c>
      <c r="N381" s="34"/>
      <c r="O381" s="34"/>
      <c r="P381" s="34"/>
      <c r="Q381" s="34"/>
      <c r="R381" s="12"/>
      <c r="S381" s="50">
        <v>0.5</v>
      </c>
      <c r="T381" s="12"/>
      <c r="U381" s="12"/>
      <c r="V381" s="12"/>
      <c r="W381" s="12"/>
      <c r="X381" s="12"/>
      <c r="Y381" s="12"/>
      <c r="Z381" s="12"/>
      <c r="AA381" s="12"/>
    </row>
    <row r="382" spans="1:29" x14ac:dyDescent="0.2">
      <c r="A382" s="1" t="s">
        <v>149</v>
      </c>
      <c r="B382" s="103">
        <f>IF(AND('AES Indiana Bill Calc.'!$D$17="SE",'AES Indiana Bill Calc.'!$D$18="Yes 50%",'AES Indiana Bill Calc.'!$D$20="Yes 2023"),'AES Indiana Bill Calc.'!$D$19,-1)</f>
        <v>-1</v>
      </c>
      <c r="C382" s="103" t="b">
        <f>IF(AND('AES Indiana Bill Calc.'!$D$17="SE",'AES Indiana Bill Calc.'!$D$18="Yes 50%",'AES Indiana Bill Calc.'!$D$20="Yes 2022"),'AES Indiana Bill Calc.'!$D$23)</f>
        <v>0</v>
      </c>
      <c r="D382" s="2">
        <f>ROUND(C382*D$305,0)</f>
        <v>0</v>
      </c>
      <c r="F382" s="36" t="s">
        <v>191</v>
      </c>
      <c r="G382" s="17">
        <f>SUM(J382:M382,O382:P382,R382:AA382)</f>
        <v>55</v>
      </c>
      <c r="H382" s="19" t="e">
        <f>IF(ISBLANK(B382),0,+#REF!/B382)</f>
        <v>#REF!</v>
      </c>
      <c r="I382" s="19"/>
      <c r="J382" s="16">
        <f>IF(ISBLANK(B382),0,+J$305)</f>
        <v>55</v>
      </c>
      <c r="K382" s="16">
        <f>ROUND(K381*K$305,2)</f>
        <v>0</v>
      </c>
      <c r="L382" s="16">
        <f>ROUND(L381*L$305,2)</f>
        <v>0</v>
      </c>
      <c r="M382" s="16">
        <f>ROUND(M381*M$305,2)</f>
        <v>0</v>
      </c>
      <c r="N382" s="16">
        <f>SUM(K382:M382)</f>
        <v>0</v>
      </c>
      <c r="O382" s="16"/>
      <c r="P382" s="16"/>
      <c r="Q382" s="16"/>
      <c r="R382" s="8"/>
      <c r="S382" s="17">
        <f>ROUND($B382*S$305*S381,2)</f>
        <v>0</v>
      </c>
      <c r="T382" s="17">
        <f>ROUND($B382*T$305,2)</f>
        <v>0</v>
      </c>
      <c r="U382" s="17">
        <f>ROUND($B382*U$305,2)</f>
        <v>0</v>
      </c>
      <c r="V382" s="17">
        <f>ROUND($B382*V$303,2)</f>
        <v>0</v>
      </c>
      <c r="W382" s="17">
        <f>ROUND($B382*W$305,2)</f>
        <v>0</v>
      </c>
      <c r="X382" s="17">
        <f>ROUND($B382*X$305,2)</f>
        <v>0</v>
      </c>
      <c r="Y382" s="17">
        <f>ROUND($B382*Y$305,2)</f>
        <v>0</v>
      </c>
      <c r="Z382" s="17">
        <f>ROUND($B382*Z$305,2)</f>
        <v>0</v>
      </c>
      <c r="AA382" s="17">
        <f>ROUND($B382*AA$305,2)</f>
        <v>0</v>
      </c>
      <c r="AB382" s="19">
        <f>SUM(U377:AA377)</f>
        <v>0</v>
      </c>
      <c r="AC382" s="67" t="str">
        <f>+F382</f>
        <v>SE3</v>
      </c>
    </row>
    <row r="383" spans="1:29" x14ac:dyDescent="0.2">
      <c r="A383" s="9"/>
      <c r="B383" s="103">
        <v>-1</v>
      </c>
      <c r="C383" s="34"/>
      <c r="F383" s="12"/>
      <c r="G383" s="12"/>
      <c r="H383" s="12"/>
      <c r="I383" s="19"/>
      <c r="J383" s="12"/>
      <c r="K383" s="35">
        <f>IF(D384&gt;K$306,+K$306,D384)</f>
        <v>0</v>
      </c>
      <c r="L383" s="35">
        <f>IF(D384&gt;K383,+D384-K383,0)</f>
        <v>0</v>
      </c>
      <c r="M383" s="34">
        <f>IF(B384&gt;D384,+B384-D384,0)</f>
        <v>0</v>
      </c>
      <c r="N383" s="34"/>
      <c r="O383" s="34"/>
      <c r="P383" s="34"/>
      <c r="Q383" s="34"/>
      <c r="R383" s="12"/>
      <c r="S383" s="50">
        <v>0.25</v>
      </c>
      <c r="T383" s="12"/>
      <c r="U383" s="12"/>
      <c r="V383" s="12"/>
      <c r="W383" s="12"/>
      <c r="X383" s="12"/>
      <c r="Y383" s="12"/>
      <c r="Z383" s="12"/>
      <c r="AA383" s="12"/>
    </row>
    <row r="384" spans="1:29" x14ac:dyDescent="0.2">
      <c r="A384" s="1" t="s">
        <v>150</v>
      </c>
      <c r="B384" s="103">
        <f>IF(AND('AES Indiana Bill Calc.'!$D$17="SE",'AES Indiana Bill Calc.'!$D$18="Yes 25%",'AES Indiana Bill Calc.'!$D$20="Yes 2023"),'AES Indiana Bill Calc.'!$D$19,-1)</f>
        <v>-1</v>
      </c>
      <c r="C384" s="103" t="b">
        <f>IF(AND('AES Indiana Bill Calc.'!$D$17="SE",'AES Indiana Bill Calc.'!$D$18="Yes 25%",'AES Indiana Bill Calc.'!$D$20="Yes 2022"),'AES Indiana Bill Calc.'!$D$23)</f>
        <v>0</v>
      </c>
      <c r="D384" s="2">
        <f>ROUND(C384*D$305,0)</f>
        <v>0</v>
      </c>
      <c r="F384" s="36" t="s">
        <v>191</v>
      </c>
      <c r="G384" s="17">
        <f>SUM(J384:M384,O384:P384,R384:AA384)</f>
        <v>55</v>
      </c>
      <c r="H384" s="19" t="e">
        <f>IF(ISBLANK(B384),0,+#REF!/B384)</f>
        <v>#REF!</v>
      </c>
      <c r="I384" s="19"/>
      <c r="J384" s="16">
        <f>IF(ISBLANK(B384),0,+J$305)</f>
        <v>55</v>
      </c>
      <c r="K384" s="16">
        <f>ROUND(K383*K$305,2)</f>
        <v>0</v>
      </c>
      <c r="L384" s="16">
        <f>ROUND(L383*L$305,2)</f>
        <v>0</v>
      </c>
      <c r="M384" s="16">
        <f>ROUND(M383*M$305,2)</f>
        <v>0</v>
      </c>
      <c r="N384" s="16">
        <f>SUM(K384:M384)</f>
        <v>0</v>
      </c>
      <c r="O384" s="16"/>
      <c r="P384" s="16"/>
      <c r="Q384" s="16"/>
      <c r="R384" s="8"/>
      <c r="S384" s="17">
        <f>ROUND($B384*S$305*S383,2)</f>
        <v>0</v>
      </c>
      <c r="T384" s="17">
        <f>ROUND($B384*T$305,2)</f>
        <v>0</v>
      </c>
      <c r="U384" s="17">
        <f>ROUND($B384*U$305,2)</f>
        <v>0</v>
      </c>
      <c r="V384" s="17">
        <f>ROUND($B384*V$303,2)</f>
        <v>0</v>
      </c>
      <c r="W384" s="17">
        <f>ROUND($B384*W$305,2)</f>
        <v>0</v>
      </c>
      <c r="X384" s="17">
        <f>ROUND($B384*X$305,2)</f>
        <v>0</v>
      </c>
      <c r="Y384" s="17">
        <f>ROUND($B384*Y$305,2)</f>
        <v>0</v>
      </c>
      <c r="Z384" s="17">
        <f>ROUND($B384*Z$305,2)</f>
        <v>0</v>
      </c>
      <c r="AA384" s="17">
        <f>ROUND($B384*AA$305,2)</f>
        <v>0</v>
      </c>
      <c r="AB384" s="19">
        <f>SUM(U379:AA379)</f>
        <v>0</v>
      </c>
      <c r="AC384" s="67" t="str">
        <f>+F384</f>
        <v>SE3</v>
      </c>
    </row>
    <row r="385" spans="1:29" x14ac:dyDescent="0.2">
      <c r="A385" s="9"/>
      <c r="B385" s="103">
        <v>-1</v>
      </c>
      <c r="C385" s="34"/>
      <c r="F385" s="12"/>
      <c r="G385" s="12"/>
      <c r="H385" s="12"/>
      <c r="I385" s="19"/>
      <c r="J385" s="12"/>
      <c r="K385" s="35">
        <f>IF(D386&gt;K$306,+K$306,D386)</f>
        <v>0</v>
      </c>
      <c r="L385" s="35">
        <f>IF(D386&gt;K385,+D386-K385,0)</f>
        <v>0</v>
      </c>
      <c r="M385" s="34">
        <f>IF(B386&gt;D386,+B386-D386,0)</f>
        <v>0</v>
      </c>
      <c r="N385" s="34"/>
      <c r="O385" s="34"/>
      <c r="P385" s="34"/>
      <c r="Q385" s="34"/>
      <c r="R385" s="12"/>
      <c r="S385" s="50">
        <v>0.1</v>
      </c>
      <c r="T385" s="12"/>
      <c r="U385" s="12"/>
      <c r="V385" s="12"/>
      <c r="W385" s="12"/>
      <c r="X385" s="12"/>
      <c r="Y385" s="12"/>
      <c r="Z385" s="12"/>
      <c r="AA385" s="12"/>
    </row>
    <row r="386" spans="1:29" x14ac:dyDescent="0.2">
      <c r="A386" s="1" t="s">
        <v>164</v>
      </c>
      <c r="B386" s="103">
        <f>IF(AND('AES Indiana Bill Calc.'!$D$17="SE",'AES Indiana Bill Calc.'!$D$18="Yes 10%",'AES Indiana Bill Calc.'!$D$20="Yes 2023"),'AES Indiana Bill Calc.'!$D$19,-1)</f>
        <v>-1</v>
      </c>
      <c r="C386" s="103" t="b">
        <f>IF(AND('AES Indiana Bill Calc.'!$D$17="SE",'AES Indiana Bill Calc.'!$D$18="Yes 10%",'AES Indiana Bill Calc.'!$D$20="Yes 2022"),'AES Indiana Bill Calc.'!$D$23)</f>
        <v>0</v>
      </c>
      <c r="D386" s="2">
        <f>ROUND(C386*D$305,0)</f>
        <v>0</v>
      </c>
      <c r="F386" s="36" t="s">
        <v>191</v>
      </c>
      <c r="G386" s="17">
        <f>SUM(J386:M386,O386:P386,R386:AA386)</f>
        <v>55</v>
      </c>
      <c r="H386" s="19" t="e">
        <f>IF(ISBLANK(B386),0,+#REF!/B386)</f>
        <v>#REF!</v>
      </c>
      <c r="I386" s="19"/>
      <c r="J386" s="16">
        <f>IF(ISBLANK(B386),0,+J$305)</f>
        <v>55</v>
      </c>
      <c r="K386" s="16">
        <f>ROUND(K385*K$305,2)</f>
        <v>0</v>
      </c>
      <c r="L386" s="16">
        <f>ROUND(L385*L$305,2)</f>
        <v>0</v>
      </c>
      <c r="M386" s="16">
        <f>ROUND(M385*M$305,2)</f>
        <v>0</v>
      </c>
      <c r="N386" s="16">
        <f>SUM(K386:M386)</f>
        <v>0</v>
      </c>
      <c r="O386" s="16"/>
      <c r="P386" s="16"/>
      <c r="Q386" s="16"/>
      <c r="R386" s="8"/>
      <c r="S386" s="17">
        <f>ROUND($B386*S$305*S385,2)</f>
        <v>0</v>
      </c>
      <c r="T386" s="17">
        <f>ROUND($B386*T$305,2)</f>
        <v>0</v>
      </c>
      <c r="U386" s="17">
        <f>ROUND($B386*U$305,2)</f>
        <v>0</v>
      </c>
      <c r="V386" s="17">
        <f>ROUND($B386*V$303,2)</f>
        <v>0</v>
      </c>
      <c r="W386" s="17">
        <f>ROUND($B386*W$305,2)</f>
        <v>0</v>
      </c>
      <c r="X386" s="17">
        <f>ROUND($B386*X$305,2)</f>
        <v>0</v>
      </c>
      <c r="Y386" s="17">
        <f>ROUND($B386*Y$305,2)</f>
        <v>0</v>
      </c>
      <c r="Z386" s="17">
        <f>ROUND($B386*Z$305,2)</f>
        <v>0</v>
      </c>
      <c r="AA386" s="17">
        <f>ROUND($B386*AA$305,2)</f>
        <v>0</v>
      </c>
      <c r="AB386" s="19">
        <f>SUM(U381:AA381)</f>
        <v>0</v>
      </c>
      <c r="AC386" s="67" t="str">
        <f>+F386</f>
        <v>SE3</v>
      </c>
    </row>
    <row r="387" spans="1:29" x14ac:dyDescent="0.2">
      <c r="A387" s="9"/>
      <c r="B387" s="103">
        <v>-1</v>
      </c>
      <c r="C387" s="34"/>
      <c r="F387" s="12"/>
      <c r="G387" s="12"/>
      <c r="H387" s="12"/>
      <c r="I387" s="19"/>
      <c r="J387" s="12"/>
      <c r="K387" s="35">
        <f>IF(D388&gt;K$306,+K$306,D388)</f>
        <v>0</v>
      </c>
      <c r="L387" s="35">
        <f>IF(D388&gt;K387,+D388-K387,0)</f>
        <v>0</v>
      </c>
      <c r="M387" s="34">
        <f>IF(B388&gt;D388,+B388-D388,0)</f>
        <v>0</v>
      </c>
      <c r="N387" s="34"/>
      <c r="O387" s="34"/>
      <c r="P387" s="34"/>
      <c r="Q387" s="34"/>
      <c r="R387" s="12"/>
      <c r="S387" s="50">
        <v>0</v>
      </c>
      <c r="T387" s="12"/>
      <c r="U387" s="12"/>
      <c r="V387" s="12"/>
      <c r="W387" s="12"/>
      <c r="X387" s="12"/>
      <c r="Y387" s="12"/>
      <c r="Z387" s="12"/>
      <c r="AA387" s="12"/>
    </row>
    <row r="388" spans="1:29" x14ac:dyDescent="0.2">
      <c r="A388" s="1" t="s">
        <v>147</v>
      </c>
      <c r="B388" s="103">
        <f>IF(AND('AES Indiana Bill Calc.'!$D$17="SE",'AES Indiana Bill Calc.'!$D$18="No",'AES Indiana Bill Calc.'!$D$20="Yes 2023"),'AES Indiana Bill Calc.'!$D$19,-1)</f>
        <v>-1</v>
      </c>
      <c r="C388" s="103" t="b">
        <f>IF(AND('AES Indiana Bill Calc.'!$D$17="SE",'AES Indiana Bill Calc.'!$D$18="No",'AES Indiana Bill Calc.'!$D$20="Yes 2022"),'AES Indiana Bill Calc.'!$D$23)</f>
        <v>0</v>
      </c>
      <c r="D388" s="2">
        <f>ROUND(C388*D$305,0)</f>
        <v>0</v>
      </c>
      <c r="F388" s="36" t="s">
        <v>191</v>
      </c>
      <c r="G388" s="17">
        <f>SUM(J388:M388,O388:P388,R388:AA388)</f>
        <v>55</v>
      </c>
      <c r="H388" s="19" t="e">
        <f>IF(ISBLANK(B388),0,+#REF!/B388)</f>
        <v>#REF!</v>
      </c>
      <c r="I388" s="19"/>
      <c r="J388" s="16">
        <f>IF(ISBLANK(B388),0,+J$305)</f>
        <v>55</v>
      </c>
      <c r="K388" s="16">
        <f>ROUND(K387*K$305,2)</f>
        <v>0</v>
      </c>
      <c r="L388" s="16">
        <f>ROUND(L387*L$305,2)</f>
        <v>0</v>
      </c>
      <c r="M388" s="16">
        <f>ROUND(M387*M$305,2)</f>
        <v>0</v>
      </c>
      <c r="N388" s="16">
        <f>SUM(K388:M388)</f>
        <v>0</v>
      </c>
      <c r="O388" s="16"/>
      <c r="P388" s="16"/>
      <c r="Q388" s="16"/>
      <c r="R388" s="8"/>
      <c r="S388" s="17">
        <f>ROUND($B388*S$305*S387,2)</f>
        <v>0</v>
      </c>
      <c r="T388" s="17">
        <f>ROUND($B388*T$305,2)</f>
        <v>0</v>
      </c>
      <c r="U388" s="17">
        <f>ROUND($B388*U$305,2)</f>
        <v>0</v>
      </c>
      <c r="V388" s="17">
        <f>ROUND($B388*V$303,2)</f>
        <v>0</v>
      </c>
      <c r="W388" s="17">
        <f>ROUND($B388*W$305,2)</f>
        <v>0</v>
      </c>
      <c r="X388" s="17">
        <f>ROUND($B388*X$305,2)</f>
        <v>0</v>
      </c>
      <c r="Y388" s="17">
        <f>ROUND($B388*Y$305,2)</f>
        <v>0</v>
      </c>
      <c r="Z388" s="17">
        <f>ROUND($B388*Z$305,2)</f>
        <v>0</v>
      </c>
      <c r="AA388" s="17">
        <f>ROUND($B388*AA$305,2)</f>
        <v>0</v>
      </c>
      <c r="AB388" s="19">
        <f>SUM(U383:AA383)</f>
        <v>0</v>
      </c>
      <c r="AC388" s="67" t="str">
        <f>+F388</f>
        <v>SE3</v>
      </c>
    </row>
    <row r="389" spans="1:29" x14ac:dyDescent="0.2">
      <c r="A389" s="1"/>
      <c r="B389" s="103">
        <v>-1</v>
      </c>
      <c r="C389" s="103"/>
      <c r="D389" s="2"/>
      <c r="F389" s="36"/>
      <c r="G389" s="17"/>
      <c r="H389" s="19"/>
      <c r="I389" s="19"/>
      <c r="J389" s="16"/>
      <c r="K389" s="16"/>
      <c r="L389" s="16"/>
      <c r="M389" s="16"/>
      <c r="N389" s="16"/>
      <c r="O389" s="16"/>
      <c r="P389" s="16"/>
      <c r="Q389" s="16"/>
      <c r="R389" s="8"/>
      <c r="S389" s="50">
        <v>1</v>
      </c>
      <c r="T389" s="17"/>
      <c r="U389" s="17"/>
      <c r="V389" s="17"/>
      <c r="W389" s="17"/>
      <c r="X389" s="17"/>
      <c r="Y389" s="17"/>
      <c r="Z389" s="17"/>
      <c r="AA389" s="17"/>
      <c r="AB389" s="19"/>
      <c r="AC389" s="67"/>
    </row>
    <row r="390" spans="1:29" x14ac:dyDescent="0.2">
      <c r="A390" s="1" t="s">
        <v>148</v>
      </c>
      <c r="B390" s="103">
        <f>IF(AND('AES Indiana Bill Calc.'!$D$17="SE",'AES Indiana Bill Calc.'!$D$18="Yes 100%",'AES Indiana Bill Calc.'!$D$20="Yes 2024"),'AES Indiana Bill Calc.'!$D$19,-1)</f>
        <v>-1</v>
      </c>
      <c r="C390" s="103" t="b">
        <f>IF(AND('AES Indiana Bill Calc.'!$D$17="SE",'AES Indiana Bill Calc.'!$D$18="Yes 100%",'AES Indiana Bill Calc.'!$D$20="Yes 2022"),'AES Indiana Bill Calc.'!$D$23)</f>
        <v>0</v>
      </c>
      <c r="D390" s="2">
        <f>ROUND(C390*D$305,0)</f>
        <v>0</v>
      </c>
      <c r="F390" s="36" t="s">
        <v>307</v>
      </c>
      <c r="G390" s="17">
        <f>SUM(J390:M390,O390:P390,R390:AA390)</f>
        <v>55</v>
      </c>
      <c r="H390" s="19" t="e">
        <f>IF(ISBLANK(B390),0,+#REF!/B390)</f>
        <v>#REF!</v>
      </c>
      <c r="I390" s="19"/>
      <c r="J390" s="16">
        <f>IF(ISBLANK(B390),0,+J$305)</f>
        <v>55</v>
      </c>
      <c r="K390" s="16">
        <f>ROUND(K389*K$305,2)</f>
        <v>0</v>
      </c>
      <c r="L390" s="16">
        <f>ROUND(L389*L$305,2)</f>
        <v>0</v>
      </c>
      <c r="M390" s="16">
        <f>ROUND(M389*M$305,2)</f>
        <v>0</v>
      </c>
      <c r="N390" s="16">
        <f>SUM(K390:M390)</f>
        <v>0</v>
      </c>
      <c r="O390" s="16"/>
      <c r="P390" s="16"/>
      <c r="Q390" s="16"/>
      <c r="R390" s="8"/>
      <c r="S390" s="17">
        <f>ROUND($B390*S$305*S389,2)</f>
        <v>0</v>
      </c>
      <c r="T390" s="17">
        <f>ROUND($B390*T$305,2)</f>
        <v>0</v>
      </c>
      <c r="U390" s="17">
        <f>ROUND($B390*U$305,2)</f>
        <v>0</v>
      </c>
      <c r="V390" s="17">
        <f>ROUND($B390*V$304,2)</f>
        <v>0</v>
      </c>
      <c r="W390" s="17">
        <f>ROUND($B390*W$305,2)</f>
        <v>0</v>
      </c>
      <c r="X390" s="17">
        <f>ROUND($B390*X$305,2)</f>
        <v>0</v>
      </c>
      <c r="Y390" s="17">
        <f>ROUND($B390*Y$305,2)</f>
        <v>0</v>
      </c>
      <c r="Z390" s="17">
        <f>ROUND($B390*Z$305,2)</f>
        <v>0</v>
      </c>
      <c r="AA390" s="17">
        <f>ROUND($B390*AA$305,2)</f>
        <v>0</v>
      </c>
      <c r="AB390" s="19">
        <f>SUM(U385:AA385)</f>
        <v>0</v>
      </c>
      <c r="AC390" s="67" t="str">
        <f>+F390</f>
        <v>SE4</v>
      </c>
    </row>
    <row r="391" spans="1:29" x14ac:dyDescent="0.2">
      <c r="A391" s="9"/>
      <c r="B391" s="103">
        <v>-1</v>
      </c>
      <c r="C391" s="34"/>
      <c r="F391" s="12"/>
      <c r="G391" s="12"/>
      <c r="H391" s="12"/>
      <c r="I391" s="19"/>
      <c r="J391" s="12"/>
      <c r="K391" s="35">
        <f>IF(D392&gt;K$306,+K$306,D392)</f>
        <v>0</v>
      </c>
      <c r="L391" s="35">
        <f>IF(D392&gt;K391,+D392-K391,0)</f>
        <v>0</v>
      </c>
      <c r="M391" s="34">
        <f>IF(B392&gt;D392,+B392-D392,0)</f>
        <v>0</v>
      </c>
      <c r="N391" s="34"/>
      <c r="O391" s="34"/>
      <c r="P391" s="34"/>
      <c r="Q391" s="34"/>
      <c r="R391" s="12"/>
      <c r="S391" s="50">
        <v>0.5</v>
      </c>
      <c r="T391" s="12"/>
      <c r="U391" s="12"/>
      <c r="V391" s="12"/>
      <c r="W391" s="12"/>
      <c r="X391" s="12"/>
      <c r="Y391" s="12"/>
      <c r="Z391" s="12"/>
      <c r="AA391" s="12"/>
    </row>
    <row r="392" spans="1:29" x14ac:dyDescent="0.2">
      <c r="A392" s="1" t="s">
        <v>149</v>
      </c>
      <c r="B392" s="103">
        <f>IF(AND('AES Indiana Bill Calc.'!$D$17="SE",'AES Indiana Bill Calc.'!$D$18="Yes 50%",'AES Indiana Bill Calc.'!$D$20="Yes 2024"),'AES Indiana Bill Calc.'!$D$19,-1)</f>
        <v>-1</v>
      </c>
      <c r="C392" s="103" t="b">
        <f>IF(AND('AES Indiana Bill Calc.'!$D$17="SE",'AES Indiana Bill Calc.'!$D$18="Yes 50%",'AES Indiana Bill Calc.'!$D$20="Yes 2022"),'AES Indiana Bill Calc.'!$D$23)</f>
        <v>0</v>
      </c>
      <c r="D392" s="2">
        <f>ROUND(C392*D$305,0)</f>
        <v>0</v>
      </c>
      <c r="F392" s="36" t="s">
        <v>307</v>
      </c>
      <c r="G392" s="17">
        <f>SUM(J392:M392,O392:P392,R392:AA392)</f>
        <v>55</v>
      </c>
      <c r="H392" s="19" t="e">
        <f>IF(ISBLANK(B392),0,+#REF!/B392)</f>
        <v>#REF!</v>
      </c>
      <c r="I392" s="19"/>
      <c r="J392" s="16">
        <f>IF(ISBLANK(B392),0,+J$305)</f>
        <v>55</v>
      </c>
      <c r="K392" s="16">
        <f>ROUND(K391*K$305,2)</f>
        <v>0</v>
      </c>
      <c r="L392" s="16">
        <f>ROUND(L391*L$305,2)</f>
        <v>0</v>
      </c>
      <c r="M392" s="16">
        <f>ROUND(M391*M$305,2)</f>
        <v>0</v>
      </c>
      <c r="N392" s="16">
        <f>SUM(K392:M392)</f>
        <v>0</v>
      </c>
      <c r="O392" s="16"/>
      <c r="P392" s="16"/>
      <c r="Q392" s="16"/>
      <c r="R392" s="8"/>
      <c r="S392" s="17">
        <f>ROUND($B392*S$305*S391,2)</f>
        <v>0</v>
      </c>
      <c r="T392" s="17">
        <f>ROUND($B392*T$305,2)</f>
        <v>0</v>
      </c>
      <c r="U392" s="17">
        <f>ROUND($B392*U$305,2)</f>
        <v>0</v>
      </c>
      <c r="V392" s="17">
        <f>ROUND($B392*V$304,2)</f>
        <v>0</v>
      </c>
      <c r="W392" s="17">
        <f>ROUND($B392*W$305,2)</f>
        <v>0</v>
      </c>
      <c r="X392" s="17">
        <f>ROUND($B392*X$305,2)</f>
        <v>0</v>
      </c>
      <c r="Y392" s="17">
        <f>ROUND($B392*Y$305,2)</f>
        <v>0</v>
      </c>
      <c r="Z392" s="17">
        <f>ROUND($B392*Z$305,2)</f>
        <v>0</v>
      </c>
      <c r="AA392" s="17">
        <f>ROUND($B392*AA$305,2)</f>
        <v>0</v>
      </c>
      <c r="AB392" s="19">
        <f>SUM(U387:AA387)</f>
        <v>0</v>
      </c>
      <c r="AC392" s="67" t="str">
        <f>+F392</f>
        <v>SE4</v>
      </c>
    </row>
    <row r="393" spans="1:29" x14ac:dyDescent="0.2">
      <c r="A393" s="9"/>
      <c r="B393" s="103">
        <v>-1</v>
      </c>
      <c r="C393" s="34"/>
      <c r="F393" s="12"/>
      <c r="G393" s="12"/>
      <c r="H393" s="12"/>
      <c r="I393" s="19"/>
      <c r="J393" s="12"/>
      <c r="K393" s="35">
        <f>IF(D394&gt;K$306,+K$306,D394)</f>
        <v>0</v>
      </c>
      <c r="L393" s="35">
        <f>IF(D394&gt;K393,+D394-K393,0)</f>
        <v>0</v>
      </c>
      <c r="M393" s="34">
        <f>IF(B394&gt;D394,+B394-D394,0)</f>
        <v>0</v>
      </c>
      <c r="N393" s="34"/>
      <c r="O393" s="34"/>
      <c r="P393" s="34"/>
      <c r="Q393" s="34"/>
      <c r="R393" s="12"/>
      <c r="S393" s="50">
        <v>0.25</v>
      </c>
      <c r="T393" s="12"/>
      <c r="U393" s="12"/>
      <c r="V393" s="12"/>
      <c r="W393" s="12"/>
      <c r="X393" s="12"/>
      <c r="Y393" s="12"/>
      <c r="Z393" s="12"/>
      <c r="AA393" s="12"/>
    </row>
    <row r="394" spans="1:29" x14ac:dyDescent="0.2">
      <c r="A394" s="1" t="s">
        <v>150</v>
      </c>
      <c r="B394" s="103">
        <f>IF(AND('AES Indiana Bill Calc.'!$D$17="SE",'AES Indiana Bill Calc.'!$D$18="Yes 25%",'AES Indiana Bill Calc.'!$D$20="Yes 2024"),'AES Indiana Bill Calc.'!$D$19,-1)</f>
        <v>-1</v>
      </c>
      <c r="C394" s="103" t="b">
        <f>IF(AND('AES Indiana Bill Calc.'!$D$17="SE",'AES Indiana Bill Calc.'!$D$18="Yes 25%",'AES Indiana Bill Calc.'!$D$20="Yes 2022"),'AES Indiana Bill Calc.'!$D$23)</f>
        <v>0</v>
      </c>
      <c r="D394" s="2">
        <f>ROUND(C394*D$305,0)</f>
        <v>0</v>
      </c>
      <c r="F394" s="36" t="s">
        <v>307</v>
      </c>
      <c r="G394" s="17">
        <f>SUM(J394:M394,O394:P394,R394:AA394)</f>
        <v>55</v>
      </c>
      <c r="H394" s="19" t="e">
        <f>IF(ISBLANK(B394),0,+#REF!/B394)</f>
        <v>#REF!</v>
      </c>
      <c r="I394" s="19"/>
      <c r="J394" s="16">
        <f>IF(ISBLANK(B394),0,+J$305)</f>
        <v>55</v>
      </c>
      <c r="K394" s="16">
        <f>ROUND(K393*K$305,2)</f>
        <v>0</v>
      </c>
      <c r="L394" s="16">
        <f>ROUND(L393*L$305,2)</f>
        <v>0</v>
      </c>
      <c r="M394" s="16">
        <f>ROUND(M393*M$305,2)</f>
        <v>0</v>
      </c>
      <c r="N394" s="16">
        <f>SUM(K394:M394)</f>
        <v>0</v>
      </c>
      <c r="O394" s="16"/>
      <c r="P394" s="16"/>
      <c r="Q394" s="16"/>
      <c r="R394" s="8"/>
      <c r="S394" s="17">
        <f>ROUND($B394*S$305*S393,2)</f>
        <v>0</v>
      </c>
      <c r="T394" s="17">
        <f>ROUND($B394*T$305,2)</f>
        <v>0</v>
      </c>
      <c r="U394" s="17">
        <f>ROUND($B394*U$305,2)</f>
        <v>0</v>
      </c>
      <c r="V394" s="17">
        <f>ROUND($B394*V$304,2)</f>
        <v>0</v>
      </c>
      <c r="W394" s="17">
        <f>ROUND($B394*W$305,2)</f>
        <v>0</v>
      </c>
      <c r="X394" s="17">
        <f>ROUND($B394*X$305,2)</f>
        <v>0</v>
      </c>
      <c r="Y394" s="17">
        <f>ROUND($B394*Y$305,2)</f>
        <v>0</v>
      </c>
      <c r="Z394" s="17">
        <f>ROUND($B394*Z$305,2)</f>
        <v>0</v>
      </c>
      <c r="AA394" s="17">
        <f>ROUND($B394*AA$305,2)</f>
        <v>0</v>
      </c>
      <c r="AB394" s="19">
        <f>SUM(U389:AA389)</f>
        <v>0</v>
      </c>
      <c r="AC394" s="67" t="str">
        <f>+F394</f>
        <v>SE4</v>
      </c>
    </row>
    <row r="395" spans="1:29" x14ac:dyDescent="0.2">
      <c r="A395" s="9"/>
      <c r="B395" s="103">
        <v>-1</v>
      </c>
      <c r="C395" s="34"/>
      <c r="F395" s="12"/>
      <c r="G395" s="12"/>
      <c r="H395" s="12"/>
      <c r="I395" s="19"/>
      <c r="J395" s="12"/>
      <c r="K395" s="35">
        <f>IF(D396&gt;K$306,+K$306,D396)</f>
        <v>0</v>
      </c>
      <c r="L395" s="35">
        <f>IF(D396&gt;K395,+D396-K395,0)</f>
        <v>0</v>
      </c>
      <c r="M395" s="34">
        <f>IF(B396&gt;D396,+B396-D396,0)</f>
        <v>0</v>
      </c>
      <c r="N395" s="34"/>
      <c r="O395" s="34"/>
      <c r="P395" s="34"/>
      <c r="Q395" s="34"/>
      <c r="R395" s="12"/>
      <c r="S395" s="50">
        <v>0.1</v>
      </c>
      <c r="T395" s="12"/>
      <c r="U395" s="12"/>
      <c r="V395" s="12"/>
      <c r="W395" s="12"/>
      <c r="X395" s="12"/>
      <c r="Y395" s="12"/>
      <c r="Z395" s="12"/>
      <c r="AA395" s="12"/>
    </row>
    <row r="396" spans="1:29" x14ac:dyDescent="0.2">
      <c r="A396" s="1" t="s">
        <v>164</v>
      </c>
      <c r="B396" s="103">
        <f>IF(AND('AES Indiana Bill Calc.'!$D$17="SE",'AES Indiana Bill Calc.'!$D$18="Yes 10%",'AES Indiana Bill Calc.'!$D$20="Yes 2024"),'AES Indiana Bill Calc.'!$D$19,-1)</f>
        <v>-1</v>
      </c>
      <c r="C396" s="103" t="b">
        <f>IF(AND('AES Indiana Bill Calc.'!$D$17="SE",'AES Indiana Bill Calc.'!$D$18="Yes 10%",'AES Indiana Bill Calc.'!$D$20="Yes 2022"),'AES Indiana Bill Calc.'!$D$23)</f>
        <v>0</v>
      </c>
      <c r="D396" s="2">
        <f>ROUND(C396*D$305,0)</f>
        <v>0</v>
      </c>
      <c r="F396" s="36" t="s">
        <v>307</v>
      </c>
      <c r="G396" s="17">
        <f>SUM(J396:M396,O396:P396,R396:AA396)</f>
        <v>55</v>
      </c>
      <c r="H396" s="19" t="e">
        <f>IF(ISBLANK(B396),0,+#REF!/B396)</f>
        <v>#REF!</v>
      </c>
      <c r="I396" s="19"/>
      <c r="J396" s="16">
        <f>IF(ISBLANK(B396),0,+J$305)</f>
        <v>55</v>
      </c>
      <c r="K396" s="16">
        <f>ROUND(K395*K$305,2)</f>
        <v>0</v>
      </c>
      <c r="L396" s="16">
        <f>ROUND(L395*L$305,2)</f>
        <v>0</v>
      </c>
      <c r="M396" s="16">
        <f>ROUND(M395*M$305,2)</f>
        <v>0</v>
      </c>
      <c r="N396" s="16">
        <f>SUM(K396:M396)</f>
        <v>0</v>
      </c>
      <c r="O396" s="16"/>
      <c r="P396" s="16"/>
      <c r="Q396" s="16"/>
      <c r="R396" s="8"/>
      <c r="S396" s="17">
        <f>ROUND($B396*S$305*S395,2)</f>
        <v>0</v>
      </c>
      <c r="T396" s="17">
        <f>ROUND($B396*T$305,2)</f>
        <v>0</v>
      </c>
      <c r="U396" s="17">
        <f>ROUND($B396*U$305,2)</f>
        <v>0</v>
      </c>
      <c r="V396" s="17">
        <f>ROUND($B396*V$304,2)</f>
        <v>0</v>
      </c>
      <c r="W396" s="17">
        <f>ROUND($B396*W$305,2)</f>
        <v>0</v>
      </c>
      <c r="X396" s="17">
        <f>ROUND($B396*X$305,2)</f>
        <v>0</v>
      </c>
      <c r="Y396" s="17">
        <f>ROUND($B396*Y$305,2)</f>
        <v>0</v>
      </c>
      <c r="Z396" s="17">
        <f>ROUND($B396*Z$305,2)</f>
        <v>0</v>
      </c>
      <c r="AA396" s="17">
        <f>ROUND($B396*AA$305,2)</f>
        <v>0</v>
      </c>
      <c r="AB396" s="19">
        <f>SUM(U391:AA391)</f>
        <v>0</v>
      </c>
      <c r="AC396" s="67" t="str">
        <f>+F396</f>
        <v>SE4</v>
      </c>
    </row>
    <row r="397" spans="1:29" x14ac:dyDescent="0.2">
      <c r="A397" s="9"/>
      <c r="B397" s="103">
        <v>-1</v>
      </c>
      <c r="C397" s="34"/>
      <c r="F397" s="12"/>
      <c r="G397" s="12"/>
      <c r="H397" s="12"/>
      <c r="I397" s="19"/>
      <c r="J397" s="12"/>
      <c r="K397" s="35">
        <f>IF(D398&gt;K$306,+K$306,D398)</f>
        <v>0</v>
      </c>
      <c r="L397" s="35">
        <f>IF(D398&gt;K397,+D398-K397,0)</f>
        <v>0</v>
      </c>
      <c r="M397" s="34">
        <f>IF(B398&gt;D398,+B398-D398,0)</f>
        <v>0</v>
      </c>
      <c r="N397" s="34"/>
      <c r="O397" s="34"/>
      <c r="P397" s="34"/>
      <c r="Q397" s="34"/>
      <c r="R397" s="12"/>
      <c r="S397" s="50">
        <v>0</v>
      </c>
      <c r="T397" s="12"/>
      <c r="U397" s="12"/>
      <c r="V397" s="12"/>
      <c r="W397" s="12"/>
      <c r="X397" s="12"/>
      <c r="Y397" s="12"/>
      <c r="Z397" s="12"/>
      <c r="AA397" s="12"/>
    </row>
    <row r="398" spans="1:29" x14ac:dyDescent="0.2">
      <c r="A398" s="1" t="s">
        <v>147</v>
      </c>
      <c r="B398" s="103">
        <f>IF(AND('AES Indiana Bill Calc.'!$D$17="SE",'AES Indiana Bill Calc.'!$D$18="No",'AES Indiana Bill Calc.'!$D$20="Yes 2024"),'AES Indiana Bill Calc.'!$D$19,-1)</f>
        <v>-1</v>
      </c>
      <c r="C398" s="103" t="b">
        <f>IF(AND('AES Indiana Bill Calc.'!$D$17="SE",'AES Indiana Bill Calc.'!$D$18="No",'AES Indiana Bill Calc.'!$D$20="Yes 2022"),'AES Indiana Bill Calc.'!$D$23)</f>
        <v>0</v>
      </c>
      <c r="D398" s="2">
        <f>ROUND(C398*D$305,0)</f>
        <v>0</v>
      </c>
      <c r="F398" s="36" t="s">
        <v>307</v>
      </c>
      <c r="G398" s="17">
        <f>SUM(J398:M398,O398:P398,R398:AA398)</f>
        <v>55</v>
      </c>
      <c r="H398" s="19" t="e">
        <f>IF(ISBLANK(B398),0,+#REF!/B398)</f>
        <v>#REF!</v>
      </c>
      <c r="I398" s="19"/>
      <c r="J398" s="16">
        <f>IF(ISBLANK(B398),0,+J$305)</f>
        <v>55</v>
      </c>
      <c r="K398" s="16">
        <f>ROUND(K397*K$305,2)</f>
        <v>0</v>
      </c>
      <c r="L398" s="16">
        <f>ROUND(L397*L$305,2)</f>
        <v>0</v>
      </c>
      <c r="M398" s="16">
        <f>ROUND(M397*M$305,2)</f>
        <v>0</v>
      </c>
      <c r="N398" s="16">
        <f>SUM(K398:M398)</f>
        <v>0</v>
      </c>
      <c r="O398" s="16"/>
      <c r="P398" s="16"/>
      <c r="Q398" s="16"/>
      <c r="R398" s="8"/>
      <c r="S398" s="17">
        <f>ROUND($B398*S$305*S397,2)</f>
        <v>0</v>
      </c>
      <c r="T398" s="17">
        <f>ROUND($B398*T$305,2)</f>
        <v>0</v>
      </c>
      <c r="U398" s="17">
        <f>ROUND($B398*U$305,2)</f>
        <v>0</v>
      </c>
      <c r="V398" s="17">
        <f>ROUND($B398*V$304,2)</f>
        <v>0</v>
      </c>
      <c r="W398" s="17">
        <f>ROUND($B398*W$305,2)</f>
        <v>0</v>
      </c>
      <c r="X398" s="17">
        <f>ROUND($B398*X$305,2)</f>
        <v>0</v>
      </c>
      <c r="Y398" s="17">
        <f>ROUND($B398*Y$305,2)</f>
        <v>0</v>
      </c>
      <c r="Z398" s="17">
        <f>ROUND($B398*Z$305,2)</f>
        <v>0</v>
      </c>
      <c r="AA398" s="17">
        <f>ROUND($B398*AA$305,2)</f>
        <v>0</v>
      </c>
      <c r="AB398" s="19">
        <f>SUM(U393:AA393)</f>
        <v>0</v>
      </c>
      <c r="AC398" s="67" t="str">
        <f>+F398</f>
        <v>SE4</v>
      </c>
    </row>
    <row r="399" spans="1:29" x14ac:dyDescent="0.2">
      <c r="A399" s="1"/>
      <c r="B399" s="103">
        <v>-1</v>
      </c>
      <c r="C399" s="103"/>
      <c r="D399" s="2"/>
      <c r="F399" s="36"/>
      <c r="G399" s="17"/>
      <c r="H399" s="19"/>
      <c r="I399" s="19"/>
      <c r="J399" s="16"/>
      <c r="K399" s="16"/>
      <c r="L399" s="16"/>
      <c r="M399" s="16"/>
      <c r="N399" s="16"/>
      <c r="O399" s="16"/>
      <c r="P399" s="16"/>
      <c r="Q399" s="16"/>
      <c r="R399" s="8"/>
      <c r="S399" s="17"/>
      <c r="T399" s="17"/>
      <c r="U399" s="17"/>
      <c r="V399" s="17"/>
      <c r="W399" s="17"/>
      <c r="X399" s="17"/>
      <c r="Y399" s="17"/>
      <c r="Z399" s="17"/>
      <c r="AA399" s="17"/>
      <c r="AB399" s="19"/>
      <c r="AC399" s="67"/>
    </row>
    <row r="400" spans="1:29" x14ac:dyDescent="0.2">
      <c r="A400" s="1"/>
      <c r="B400" s="103">
        <v>-1</v>
      </c>
      <c r="C400" s="103"/>
      <c r="D400" s="2"/>
      <c r="F400" s="36"/>
      <c r="G400" s="17"/>
      <c r="H400" s="19"/>
      <c r="I400" s="19"/>
      <c r="J400" s="16"/>
      <c r="K400" s="16"/>
      <c r="L400" s="16"/>
      <c r="M400" s="16"/>
      <c r="N400" s="16"/>
      <c r="O400" s="16"/>
      <c r="P400" s="16"/>
      <c r="Q400" s="16"/>
      <c r="R400" s="8"/>
      <c r="S400" s="17"/>
      <c r="T400" s="17"/>
      <c r="U400" s="17"/>
      <c r="V400" s="17"/>
      <c r="W400" s="17"/>
      <c r="X400" s="17"/>
      <c r="Y400" s="17"/>
      <c r="Z400" s="17"/>
      <c r="AA400" s="17"/>
      <c r="AB400" s="19"/>
      <c r="AC400" s="67"/>
    </row>
    <row r="401" spans="1:29" x14ac:dyDescent="0.2">
      <c r="B401" s="103">
        <v>-1</v>
      </c>
      <c r="H401" s="19"/>
      <c r="I401" s="19"/>
      <c r="J401" s="8"/>
      <c r="K401" s="17"/>
      <c r="L401" s="8"/>
      <c r="M401" s="8"/>
      <c r="N401" s="8"/>
      <c r="O401" s="8"/>
      <c r="P401" s="8"/>
      <c r="Q401" s="8"/>
      <c r="R401" s="8"/>
      <c r="S401" s="17"/>
      <c r="T401" s="17"/>
      <c r="U401" s="17"/>
      <c r="V401" s="17"/>
      <c r="W401" s="17"/>
      <c r="X401" s="17"/>
      <c r="Y401" s="17"/>
      <c r="Z401" s="17"/>
      <c r="AA401" s="17"/>
    </row>
    <row r="402" spans="1:29" x14ac:dyDescent="0.2">
      <c r="B402" s="103">
        <v>-1</v>
      </c>
      <c r="C402" s="4"/>
      <c r="I402" s="19"/>
      <c r="J402" s="161">
        <v>20</v>
      </c>
      <c r="K402" s="162">
        <v>7.6942999999999998E-2</v>
      </c>
      <c r="L402" s="5"/>
      <c r="M402" s="5"/>
      <c r="N402" s="5"/>
      <c r="O402" s="5"/>
      <c r="P402" s="5"/>
      <c r="Q402" s="5"/>
      <c r="R402" s="5"/>
      <c r="S402" s="27">
        <f>+M$3</f>
        <v>3.0000000000000001E-3</v>
      </c>
      <c r="T402" s="27">
        <f t="shared" ref="T402:AA402" si="28">+R$3</f>
        <v>-3.4320000000000002E-3</v>
      </c>
      <c r="U402" s="27">
        <f>$S$3</f>
        <v>1.8929999999999999E-3</v>
      </c>
      <c r="V402" s="27">
        <f t="shared" si="28"/>
        <v>3.5249999999999999E-3</v>
      </c>
      <c r="W402" s="27">
        <f t="shared" si="28"/>
        <v>0</v>
      </c>
      <c r="X402" s="27">
        <f t="shared" si="28"/>
        <v>3.375E-3</v>
      </c>
      <c r="Y402" s="27">
        <f t="shared" si="28"/>
        <v>-1.379E-3</v>
      </c>
      <c r="Z402" s="27">
        <f t="shared" si="28"/>
        <v>5.5400000000000002E-4</v>
      </c>
      <c r="AA402" s="27">
        <f t="shared" si="28"/>
        <v>-4.7699999999999999E-4</v>
      </c>
      <c r="AB402" s="19">
        <f>SUM(U402:Z402)</f>
        <v>7.9680000000000011E-3</v>
      </c>
    </row>
    <row r="403" spans="1:29" x14ac:dyDescent="0.2">
      <c r="A403" s="1"/>
      <c r="B403" s="103">
        <v>-1</v>
      </c>
      <c r="I403" s="19"/>
      <c r="J403" s="76"/>
      <c r="K403" s="77">
        <v>999999</v>
      </c>
    </row>
    <row r="404" spans="1:29" x14ac:dyDescent="0.2">
      <c r="B404" s="103">
        <v>-1</v>
      </c>
      <c r="F404" s="12"/>
      <c r="I404" s="19"/>
      <c r="J404" s="12" t="s">
        <v>137</v>
      </c>
      <c r="K404" s="204" t="s">
        <v>28</v>
      </c>
      <c r="L404" s="204"/>
      <c r="M404" s="12"/>
      <c r="N404" s="12"/>
      <c r="O404" s="12"/>
      <c r="P404" s="12"/>
      <c r="Q404" s="143" t="s">
        <v>173</v>
      </c>
      <c r="R404" s="12"/>
      <c r="S404" s="12">
        <v>21</v>
      </c>
      <c r="T404" s="12">
        <v>6</v>
      </c>
      <c r="U404" s="12">
        <v>3</v>
      </c>
      <c r="V404" s="12">
        <v>22</v>
      </c>
      <c r="W404" s="12">
        <v>13</v>
      </c>
      <c r="X404" s="12">
        <v>20</v>
      </c>
      <c r="Y404" s="12">
        <v>24</v>
      </c>
      <c r="Z404" s="12">
        <v>25</v>
      </c>
      <c r="AA404" s="12">
        <v>26</v>
      </c>
    </row>
    <row r="405" spans="1:29" x14ac:dyDescent="0.2">
      <c r="A405" s="13"/>
      <c r="B405" s="14">
        <v>-1</v>
      </c>
      <c r="C405" s="14" t="s">
        <v>192</v>
      </c>
      <c r="D405" s="15"/>
      <c r="F405" s="13" t="s">
        <v>141</v>
      </c>
      <c r="G405" s="13" t="s">
        <v>142</v>
      </c>
      <c r="H405" s="13" t="s">
        <v>143</v>
      </c>
      <c r="I405" s="19"/>
      <c r="J405" s="13" t="s">
        <v>144</v>
      </c>
      <c r="K405" s="13" t="s">
        <v>174</v>
      </c>
      <c r="L405" s="13"/>
      <c r="M405" s="13"/>
      <c r="N405" s="143" t="s">
        <v>138</v>
      </c>
      <c r="O405" s="13"/>
      <c r="P405" s="13"/>
      <c r="Q405" s="13"/>
      <c r="R405" s="13"/>
      <c r="S405" s="13" t="s">
        <v>106</v>
      </c>
      <c r="T405" s="13" t="s">
        <v>36</v>
      </c>
      <c r="U405" s="139" t="s">
        <v>38</v>
      </c>
      <c r="V405" s="13" t="s">
        <v>107</v>
      </c>
      <c r="W405" s="13" t="s">
        <v>108</v>
      </c>
      <c r="X405" s="13" t="s">
        <v>109</v>
      </c>
      <c r="Y405" s="139" t="s">
        <v>44</v>
      </c>
      <c r="Z405" s="139" t="s">
        <v>46</v>
      </c>
      <c r="AA405" s="139" t="s">
        <v>48</v>
      </c>
      <c r="AB405" s="66" t="s">
        <v>110</v>
      </c>
    </row>
    <row r="406" spans="1:29" x14ac:dyDescent="0.2">
      <c r="B406" s="103">
        <v>-1</v>
      </c>
      <c r="C406" s="34"/>
      <c r="F406" s="12"/>
      <c r="G406" s="12"/>
      <c r="H406" s="12"/>
      <c r="I406" s="19"/>
      <c r="J406" s="12"/>
      <c r="K406" s="12"/>
      <c r="L406" s="12"/>
      <c r="M406" s="12"/>
      <c r="N406" s="12"/>
      <c r="O406" s="12"/>
      <c r="P406" s="12"/>
      <c r="Q406" s="12"/>
      <c r="R406" s="12"/>
      <c r="S406" s="50">
        <v>1</v>
      </c>
      <c r="T406" s="12"/>
      <c r="U406" s="12"/>
      <c r="V406" s="12"/>
      <c r="W406" s="12"/>
      <c r="X406" s="12"/>
      <c r="Y406" s="12"/>
      <c r="Z406" s="12"/>
      <c r="AA406" s="12"/>
    </row>
    <row r="407" spans="1:29" x14ac:dyDescent="0.2">
      <c r="A407" s="1" t="s">
        <v>148</v>
      </c>
      <c r="B407" s="103">
        <f>IF(AND('AES Indiana Bill Calc.'!$D$17="CR",'AES Indiana Bill Calc.'!$D$18="Yes 100%"),'AES Indiana Bill Calc.'!$D$19,-1)</f>
        <v>-1</v>
      </c>
      <c r="C407" s="9"/>
      <c r="F407" s="36" t="s">
        <v>58</v>
      </c>
      <c r="G407" s="17">
        <f>SUM(J407:M407,O407:P407,R407:AA407)</f>
        <v>19.920000000000002</v>
      </c>
      <c r="H407" s="19" t="e">
        <f>IF(ISBLANK(B407),0,+#REF!/B407)</f>
        <v>#REF!</v>
      </c>
      <c r="I407" s="19"/>
      <c r="J407" s="16">
        <f>IF(ISBLANK(B407),0,+J$402)</f>
        <v>20</v>
      </c>
      <c r="K407" s="16">
        <f>ROUND($B407*K$402,2)</f>
        <v>-0.08</v>
      </c>
      <c r="L407" s="16"/>
      <c r="M407" s="8"/>
      <c r="N407" s="8">
        <f>SUM(K407:L407)</f>
        <v>-0.08</v>
      </c>
      <c r="O407" s="8"/>
      <c r="P407" s="8"/>
      <c r="Q407" s="8"/>
      <c r="R407" s="8"/>
      <c r="S407" s="17">
        <f>ROUND($B407*S$402*S406,2)</f>
        <v>0</v>
      </c>
      <c r="T407" s="17">
        <f t="shared" ref="T407:AA415" si="29">ROUND($B407*T$402,2)</f>
        <v>0</v>
      </c>
      <c r="U407" s="17">
        <f t="shared" si="29"/>
        <v>0</v>
      </c>
      <c r="V407" s="17">
        <f t="shared" si="29"/>
        <v>0</v>
      </c>
      <c r="W407" s="17">
        <f t="shared" si="29"/>
        <v>0</v>
      </c>
      <c r="X407" s="17">
        <f t="shared" si="29"/>
        <v>0</v>
      </c>
      <c r="Y407" s="17">
        <f t="shared" si="29"/>
        <v>0</v>
      </c>
      <c r="Z407" s="17">
        <f t="shared" si="29"/>
        <v>0</v>
      </c>
      <c r="AA407" s="17">
        <f t="shared" si="29"/>
        <v>0</v>
      </c>
      <c r="AB407" s="19">
        <f>SUM(U402:AA402)</f>
        <v>7.4910000000000011E-3</v>
      </c>
      <c r="AC407" s="67" t="str">
        <f>+F407</f>
        <v>CR</v>
      </c>
    </row>
    <row r="408" spans="1:29" x14ac:dyDescent="0.2">
      <c r="A408" s="9"/>
      <c r="B408" s="103">
        <v>-1</v>
      </c>
      <c r="C408" s="34"/>
      <c r="F408" s="12"/>
      <c r="G408" s="12"/>
      <c r="H408" s="12"/>
      <c r="I408" s="19"/>
      <c r="J408" s="12"/>
      <c r="K408" s="12"/>
      <c r="L408" s="12"/>
      <c r="M408" s="12"/>
      <c r="N408" s="12"/>
      <c r="O408" s="12"/>
      <c r="P408" s="12"/>
      <c r="Q408" s="12"/>
      <c r="R408" s="12"/>
      <c r="S408" s="50">
        <v>0.5</v>
      </c>
      <c r="T408" s="12"/>
      <c r="U408" s="12"/>
      <c r="V408" s="12"/>
      <c r="W408" s="12"/>
      <c r="X408" s="12"/>
      <c r="Y408" s="12"/>
      <c r="Z408" s="12"/>
      <c r="AA408" s="12"/>
    </row>
    <row r="409" spans="1:29" x14ac:dyDescent="0.2">
      <c r="A409" s="1" t="s">
        <v>149</v>
      </c>
      <c r="B409" s="103">
        <f>IF(AND('AES Indiana Bill Calc.'!$D$17="CR",'AES Indiana Bill Calc.'!$D$18="Yes 50%"),'AES Indiana Bill Calc.'!$D$19,-1)</f>
        <v>-1</v>
      </c>
      <c r="C409" s="9"/>
      <c r="F409" s="36" t="s">
        <v>58</v>
      </c>
      <c r="G409" s="17">
        <f>SUM(J409:M409,O409:P409,R409:AA409)</f>
        <v>19.920000000000002</v>
      </c>
      <c r="H409" s="19" t="e">
        <f>IF(ISBLANK(B409),0,+#REF!/B409)</f>
        <v>#REF!</v>
      </c>
      <c r="I409" s="19"/>
      <c r="J409" s="16">
        <f>IF(ISBLANK(B409),0,+J$402)</f>
        <v>20</v>
      </c>
      <c r="K409" s="16">
        <f>ROUND($B409*K$402,2)</f>
        <v>-0.08</v>
      </c>
      <c r="L409" s="16"/>
      <c r="M409" s="8"/>
      <c r="N409" s="8">
        <f>SUM(K409:L409)</f>
        <v>-0.08</v>
      </c>
      <c r="O409" s="8"/>
      <c r="P409" s="8"/>
      <c r="Q409" s="8"/>
      <c r="R409" s="8"/>
      <c r="S409" s="17">
        <f>ROUND($B409*S$402*S408,2)</f>
        <v>0</v>
      </c>
      <c r="T409" s="17">
        <f t="shared" si="29"/>
        <v>0</v>
      </c>
      <c r="U409" s="17">
        <f t="shared" si="29"/>
        <v>0</v>
      </c>
      <c r="V409" s="17">
        <f t="shared" si="29"/>
        <v>0</v>
      </c>
      <c r="W409" s="17">
        <f t="shared" si="29"/>
        <v>0</v>
      </c>
      <c r="X409" s="17">
        <f t="shared" si="29"/>
        <v>0</v>
      </c>
      <c r="Y409" s="17">
        <f t="shared" si="29"/>
        <v>0</v>
      </c>
      <c r="Z409" s="17">
        <f t="shared" si="29"/>
        <v>0</v>
      </c>
      <c r="AA409" s="17">
        <f t="shared" si="29"/>
        <v>0</v>
      </c>
      <c r="AB409" s="19">
        <f>SUM(U404:AA404)</f>
        <v>133</v>
      </c>
      <c r="AC409" s="67" t="str">
        <f>+F409</f>
        <v>CR</v>
      </c>
    </row>
    <row r="410" spans="1:29" x14ac:dyDescent="0.2">
      <c r="A410" s="9"/>
      <c r="B410" s="103">
        <v>-1</v>
      </c>
      <c r="C410" s="34"/>
      <c r="F410" s="12"/>
      <c r="G410" s="12"/>
      <c r="H410" s="12"/>
      <c r="I410" s="19"/>
      <c r="J410" s="12"/>
      <c r="K410" s="12"/>
      <c r="L410" s="12"/>
      <c r="M410" s="12"/>
      <c r="N410" s="12"/>
      <c r="O410" s="12"/>
      <c r="P410" s="12"/>
      <c r="Q410" s="12"/>
      <c r="R410" s="12"/>
      <c r="S410" s="50">
        <v>0.25</v>
      </c>
      <c r="T410" s="12"/>
      <c r="U410" s="12"/>
      <c r="V410" s="12"/>
      <c r="W410" s="12"/>
      <c r="X410" s="12"/>
      <c r="Y410" s="12"/>
      <c r="Z410" s="12"/>
      <c r="AA410" s="12"/>
    </row>
    <row r="411" spans="1:29" x14ac:dyDescent="0.2">
      <c r="A411" s="1" t="s">
        <v>150</v>
      </c>
      <c r="B411" s="103">
        <f>IF(AND('AES Indiana Bill Calc.'!$D$17="CR",'AES Indiana Bill Calc.'!$D$18="Yes 25%"),'AES Indiana Bill Calc.'!$D$19,-1)</f>
        <v>-1</v>
      </c>
      <c r="C411" s="9"/>
      <c r="F411" s="36" t="s">
        <v>58</v>
      </c>
      <c r="G411" s="17">
        <f>SUM(J411:M411,O411:P411,R411:AA411)</f>
        <v>19.920000000000002</v>
      </c>
      <c r="H411" s="19" t="e">
        <f>IF(ISBLANK(B411),0,+#REF!/B411)</f>
        <v>#REF!</v>
      </c>
      <c r="I411" s="19"/>
      <c r="J411" s="16">
        <f>IF(ISBLANK(B411),0,+J$402)</f>
        <v>20</v>
      </c>
      <c r="K411" s="16">
        <f>ROUND($B411*K$402,2)</f>
        <v>-0.08</v>
      </c>
      <c r="L411" s="16"/>
      <c r="M411" s="8"/>
      <c r="N411" s="8">
        <f>SUM(K411:L411)</f>
        <v>-0.08</v>
      </c>
      <c r="O411" s="8"/>
      <c r="P411" s="8"/>
      <c r="Q411" s="8"/>
      <c r="R411" s="8"/>
      <c r="S411" s="17">
        <f>ROUND($B411*S$402*S410,2)</f>
        <v>0</v>
      </c>
      <c r="T411" s="17">
        <f t="shared" si="29"/>
        <v>0</v>
      </c>
      <c r="U411" s="17">
        <f t="shared" si="29"/>
        <v>0</v>
      </c>
      <c r="V411" s="17">
        <f t="shared" si="29"/>
        <v>0</v>
      </c>
      <c r="W411" s="17">
        <f t="shared" si="29"/>
        <v>0</v>
      </c>
      <c r="X411" s="17">
        <f t="shared" si="29"/>
        <v>0</v>
      </c>
      <c r="Y411" s="17">
        <f t="shared" si="29"/>
        <v>0</v>
      </c>
      <c r="Z411" s="17">
        <f t="shared" si="29"/>
        <v>0</v>
      </c>
      <c r="AA411" s="17">
        <f t="shared" si="29"/>
        <v>0</v>
      </c>
      <c r="AB411" s="19">
        <f>SUM(U406:AA406)</f>
        <v>0</v>
      </c>
      <c r="AC411" s="67" t="str">
        <f>+F411</f>
        <v>CR</v>
      </c>
    </row>
    <row r="412" spans="1:29" x14ac:dyDescent="0.2">
      <c r="A412" s="1"/>
      <c r="B412" s="103">
        <v>-1</v>
      </c>
      <c r="C412" s="34"/>
      <c r="F412" s="12"/>
      <c r="G412" s="12"/>
      <c r="H412" s="12"/>
      <c r="I412" s="19"/>
      <c r="J412" s="12"/>
      <c r="K412" s="12"/>
      <c r="L412" s="12"/>
      <c r="M412" s="12"/>
      <c r="N412" s="12"/>
      <c r="O412" s="12"/>
      <c r="P412" s="12"/>
      <c r="Q412" s="12"/>
      <c r="R412" s="12"/>
      <c r="S412" s="50">
        <v>0.1</v>
      </c>
      <c r="T412" s="12"/>
      <c r="U412" s="12"/>
      <c r="V412" s="12"/>
      <c r="W412" s="12"/>
      <c r="X412" s="12"/>
      <c r="Y412" s="12"/>
      <c r="Z412" s="12"/>
      <c r="AA412" s="12"/>
    </row>
    <row r="413" spans="1:29" x14ac:dyDescent="0.2">
      <c r="A413" s="1" t="s">
        <v>164</v>
      </c>
      <c r="B413" s="103">
        <f>IF(AND('AES Indiana Bill Calc.'!$D$17="CR",'AES Indiana Bill Calc.'!$D$18="Yes 10%"),'AES Indiana Bill Calc.'!$D$19,-1)</f>
        <v>-1</v>
      </c>
      <c r="C413" s="9"/>
      <c r="F413" s="36" t="s">
        <v>58</v>
      </c>
      <c r="G413" s="17">
        <f>SUM(J413:M413,O413:P413,R413:AA413)</f>
        <v>19.920000000000002</v>
      </c>
      <c r="H413" s="19" t="e">
        <f>IF(ISBLANK(B413),0,+#REF!/B413)</f>
        <v>#REF!</v>
      </c>
      <c r="I413" s="19"/>
      <c r="J413" s="16">
        <f>IF(ISBLANK(B413),0,+J$402)</f>
        <v>20</v>
      </c>
      <c r="K413" s="16">
        <f>ROUND($B413*K$402,2)</f>
        <v>-0.08</v>
      </c>
      <c r="L413" s="16"/>
      <c r="M413" s="8"/>
      <c r="N413" s="8">
        <f>SUM(K413:L413)</f>
        <v>-0.08</v>
      </c>
      <c r="O413" s="8"/>
      <c r="P413" s="8"/>
      <c r="Q413" s="8"/>
      <c r="R413" s="8"/>
      <c r="S413" s="17">
        <f>ROUND($B413*S$402*S412,2)</f>
        <v>0</v>
      </c>
      <c r="T413" s="17">
        <f t="shared" si="29"/>
        <v>0</v>
      </c>
      <c r="U413" s="17">
        <f t="shared" si="29"/>
        <v>0</v>
      </c>
      <c r="V413" s="17">
        <f t="shared" si="29"/>
        <v>0</v>
      </c>
      <c r="W413" s="17">
        <f t="shared" si="29"/>
        <v>0</v>
      </c>
      <c r="X413" s="17">
        <f t="shared" si="29"/>
        <v>0</v>
      </c>
      <c r="Y413" s="17">
        <f t="shared" si="29"/>
        <v>0</v>
      </c>
      <c r="Z413" s="17">
        <f t="shared" si="29"/>
        <v>0</v>
      </c>
      <c r="AA413" s="17">
        <f t="shared" si="29"/>
        <v>0</v>
      </c>
      <c r="AB413" s="19">
        <f>SUM(U408:AA408)</f>
        <v>0</v>
      </c>
      <c r="AC413" s="67" t="str">
        <f>+F413</f>
        <v>CR</v>
      </c>
    </row>
    <row r="414" spans="1:29" x14ac:dyDescent="0.2">
      <c r="A414" s="9"/>
      <c r="B414" s="103">
        <v>-1</v>
      </c>
      <c r="C414" s="34"/>
      <c r="F414" s="12"/>
      <c r="G414" s="12"/>
      <c r="H414" s="12"/>
      <c r="I414" s="19"/>
      <c r="J414" s="12"/>
      <c r="K414" s="12"/>
      <c r="L414" s="12"/>
      <c r="M414" s="12"/>
      <c r="N414" s="12"/>
      <c r="O414" s="12"/>
      <c r="P414" s="12"/>
      <c r="Q414" s="12"/>
      <c r="R414" s="12"/>
      <c r="S414" s="50">
        <v>0</v>
      </c>
      <c r="T414" s="12"/>
      <c r="U414" s="12"/>
      <c r="V414" s="12"/>
      <c r="W414" s="12"/>
      <c r="X414" s="12"/>
      <c r="Y414" s="12"/>
      <c r="Z414" s="12"/>
      <c r="AA414" s="12"/>
    </row>
    <row r="415" spans="1:29" x14ac:dyDescent="0.2">
      <c r="A415" s="1" t="s">
        <v>147</v>
      </c>
      <c r="B415" s="103">
        <f>IF(AND('AES Indiana Bill Calc.'!$D$17="CR",'AES Indiana Bill Calc.'!$D$18="No"),'AES Indiana Bill Calc.'!$D$19,-1)</f>
        <v>-1</v>
      </c>
      <c r="C415" s="9"/>
      <c r="F415" s="36" t="s">
        <v>58</v>
      </c>
      <c r="G415" s="17">
        <f>SUM(J415:M415,O415:P415,R415:AA415)</f>
        <v>19.920000000000002</v>
      </c>
      <c r="H415" s="19" t="e">
        <f>IF(ISBLANK(B415),0,+#REF!/B415)</f>
        <v>#REF!</v>
      </c>
      <c r="I415" s="19"/>
      <c r="J415" s="16">
        <f>IF(ISBLANK(B415),0,+J$402)</f>
        <v>20</v>
      </c>
      <c r="K415" s="16">
        <f>ROUND($B415*K$402,2)</f>
        <v>-0.08</v>
      </c>
      <c r="L415" s="16"/>
      <c r="M415" s="8"/>
      <c r="N415" s="8">
        <f>SUM(K415:L415)</f>
        <v>-0.08</v>
      </c>
      <c r="O415" s="8"/>
      <c r="P415" s="8"/>
      <c r="Q415" s="8"/>
      <c r="R415" s="8"/>
      <c r="S415" s="17">
        <f>ROUND($B415*S$402*S414,2)</f>
        <v>0</v>
      </c>
      <c r="T415" s="17">
        <f t="shared" si="29"/>
        <v>0</v>
      </c>
      <c r="U415" s="17">
        <f t="shared" si="29"/>
        <v>0</v>
      </c>
      <c r="V415" s="17">
        <f t="shared" si="29"/>
        <v>0</v>
      </c>
      <c r="W415" s="17">
        <f t="shared" si="29"/>
        <v>0</v>
      </c>
      <c r="X415" s="17">
        <f t="shared" si="29"/>
        <v>0</v>
      </c>
      <c r="Y415" s="17">
        <f t="shared" si="29"/>
        <v>0</v>
      </c>
      <c r="Z415" s="17">
        <f t="shared" si="29"/>
        <v>0</v>
      </c>
      <c r="AA415" s="17">
        <f t="shared" si="29"/>
        <v>0</v>
      </c>
      <c r="AB415" s="19">
        <f>SUM(U410:AA410)</f>
        <v>0</v>
      </c>
      <c r="AC415" s="67" t="str">
        <f>+F415</f>
        <v>CR</v>
      </c>
    </row>
    <row r="416" spans="1:29" x14ac:dyDescent="0.2">
      <c r="A416" s="53"/>
      <c r="B416" s="103">
        <v>-1</v>
      </c>
      <c r="C416" s="9"/>
      <c r="F416" s="36"/>
      <c r="G416" s="17"/>
      <c r="H416" s="19"/>
      <c r="I416" s="19"/>
      <c r="J416" s="16"/>
      <c r="K416" s="16"/>
      <c r="L416" s="16"/>
      <c r="M416" s="8"/>
      <c r="N416" s="8"/>
      <c r="O416" s="8"/>
      <c r="P416" s="8"/>
      <c r="Q416" s="8"/>
      <c r="R416" s="8"/>
      <c r="S416" s="17"/>
      <c r="T416" s="17"/>
      <c r="U416" s="17"/>
      <c r="V416" s="17"/>
      <c r="W416" s="17"/>
      <c r="X416" s="17"/>
      <c r="Y416" s="17"/>
      <c r="Z416" s="17"/>
      <c r="AA416" s="17"/>
      <c r="AB416" s="19"/>
      <c r="AC416" s="67"/>
    </row>
    <row r="417" spans="1:29" x14ac:dyDescent="0.2">
      <c r="A417" s="53"/>
      <c r="B417" s="103">
        <v>-1</v>
      </c>
      <c r="C417" s="9"/>
      <c r="F417" s="36"/>
      <c r="G417" s="17"/>
      <c r="H417" s="19"/>
      <c r="I417" s="19"/>
      <c r="J417" s="16"/>
      <c r="K417" s="16"/>
      <c r="L417" s="16"/>
      <c r="M417" s="8"/>
      <c r="N417" s="8"/>
      <c r="O417" s="8"/>
      <c r="P417" s="8"/>
      <c r="Q417" s="8"/>
      <c r="R417" s="8"/>
      <c r="S417" s="17"/>
      <c r="T417" s="17"/>
      <c r="U417" s="17"/>
      <c r="V417" s="17"/>
      <c r="W417" s="17"/>
      <c r="X417" s="17"/>
      <c r="Y417" s="17"/>
      <c r="Z417" s="17"/>
      <c r="AA417" s="17"/>
      <c r="AB417" s="19"/>
      <c r="AC417" s="67"/>
    </row>
    <row r="418" spans="1:29" x14ac:dyDescent="0.2">
      <c r="B418" s="103">
        <v>-1</v>
      </c>
      <c r="G418" s="17"/>
      <c r="H418" s="19"/>
      <c r="I418" s="19"/>
      <c r="J418" s="8"/>
      <c r="K418" s="17"/>
      <c r="L418" s="8"/>
      <c r="M418" s="8"/>
      <c r="N418" s="8"/>
      <c r="O418" s="8"/>
      <c r="P418" s="8"/>
      <c r="Q418" s="8"/>
      <c r="R418" s="8"/>
      <c r="S418" s="17"/>
      <c r="T418" s="17"/>
      <c r="U418" s="17"/>
      <c r="V418" s="17"/>
      <c r="W418" s="17"/>
      <c r="X418" s="17"/>
      <c r="Y418" s="17"/>
      <c r="Z418" s="17"/>
      <c r="AA418" s="17"/>
    </row>
    <row r="419" spans="1:29" x14ac:dyDescent="0.2">
      <c r="B419" s="103">
        <v>-1</v>
      </c>
      <c r="H419" s="19"/>
      <c r="I419" s="19"/>
      <c r="J419" s="8"/>
      <c r="K419" s="17"/>
      <c r="L419" s="8"/>
      <c r="M419" s="8"/>
      <c r="N419" s="8"/>
      <c r="O419" s="8"/>
      <c r="P419" s="8"/>
      <c r="Q419" s="8"/>
      <c r="R419" s="8"/>
      <c r="S419" s="17"/>
      <c r="T419" s="17"/>
      <c r="U419" s="17"/>
      <c r="V419" s="17"/>
      <c r="W419" s="17"/>
      <c r="X419" s="17"/>
      <c r="Y419" s="17"/>
      <c r="Z419" s="17"/>
      <c r="AA419" s="17"/>
    </row>
    <row r="420" spans="1:29" x14ac:dyDescent="0.2">
      <c r="B420" s="103">
        <v>-1</v>
      </c>
      <c r="C420" s="4"/>
      <c r="I420" s="19"/>
      <c r="J420" s="161">
        <f>J402</f>
        <v>20</v>
      </c>
      <c r="K420" s="162">
        <f>K402</f>
        <v>7.6942999999999998E-2</v>
      </c>
      <c r="L420" s="5">
        <v>0</v>
      </c>
      <c r="M420" s="5"/>
      <c r="N420" s="5"/>
      <c r="O420" s="5"/>
      <c r="P420" s="5"/>
      <c r="Q420" s="5"/>
      <c r="R420" s="5"/>
      <c r="S420" s="27">
        <f>+M$4</f>
        <v>3.0000000000000001E-3</v>
      </c>
      <c r="T420" s="27">
        <f t="shared" ref="T420:AA420" si="30">+R$4</f>
        <v>-3.4320000000000002E-3</v>
      </c>
      <c r="U420" s="27">
        <f>+S$4</f>
        <v>1.523E-3</v>
      </c>
      <c r="V420" s="27">
        <f t="shared" si="30"/>
        <v>6.6499999999999997E-3</v>
      </c>
      <c r="W420" s="27">
        <f t="shared" si="30"/>
        <v>0</v>
      </c>
      <c r="X420" s="27">
        <f t="shared" si="30"/>
        <v>3.2620000000000001E-3</v>
      </c>
      <c r="Y420" s="27">
        <f t="shared" si="30"/>
        <v>-1.3760000000000001E-3</v>
      </c>
      <c r="Z420" s="27">
        <f t="shared" si="30"/>
        <v>4.8899999999999996E-4</v>
      </c>
      <c r="AA420" s="27">
        <f t="shared" si="30"/>
        <v>-4.5600000000000003E-4</v>
      </c>
      <c r="AB420" s="19">
        <f>SUM(U420:Z420)</f>
        <v>1.0548E-2</v>
      </c>
    </row>
    <row r="421" spans="1:29" x14ac:dyDescent="0.2">
      <c r="A421" s="1"/>
      <c r="B421" s="103">
        <v>-1</v>
      </c>
      <c r="C421" s="37"/>
      <c r="I421" s="19"/>
      <c r="J421" s="72"/>
      <c r="K421" s="73">
        <v>999999</v>
      </c>
    </row>
    <row r="422" spans="1:29" x14ac:dyDescent="0.2">
      <c r="B422" s="103">
        <v>-1</v>
      </c>
      <c r="F422" s="12"/>
      <c r="I422" s="19"/>
      <c r="J422" s="12" t="s">
        <v>137</v>
      </c>
      <c r="K422" s="204" t="s">
        <v>28</v>
      </c>
      <c r="L422" s="204"/>
      <c r="M422" s="12"/>
      <c r="N422" s="12"/>
      <c r="O422" s="12"/>
      <c r="P422" s="12"/>
      <c r="Q422" s="143" t="s">
        <v>173</v>
      </c>
      <c r="R422" s="12"/>
      <c r="S422" s="12">
        <v>21</v>
      </c>
      <c r="T422" s="12">
        <v>6</v>
      </c>
      <c r="U422" s="12">
        <v>3</v>
      </c>
      <c r="V422" s="12">
        <v>22</v>
      </c>
      <c r="W422" s="12">
        <v>13</v>
      </c>
      <c r="X422" s="12">
        <v>20</v>
      </c>
      <c r="Y422" s="12">
        <v>24</v>
      </c>
      <c r="Z422" s="12">
        <v>25</v>
      </c>
      <c r="AA422" s="12">
        <v>26</v>
      </c>
    </row>
    <row r="423" spans="1:29" x14ac:dyDescent="0.2">
      <c r="A423" s="13"/>
      <c r="B423" s="103">
        <v>-1</v>
      </c>
      <c r="C423" s="14" t="s">
        <v>192</v>
      </c>
      <c r="D423" s="15"/>
      <c r="F423" s="13" t="s">
        <v>141</v>
      </c>
      <c r="G423" s="13" t="s">
        <v>142</v>
      </c>
      <c r="H423" s="13" t="s">
        <v>143</v>
      </c>
      <c r="I423" s="19"/>
      <c r="J423" s="13" t="s">
        <v>144</v>
      </c>
      <c r="K423" s="13" t="s">
        <v>174</v>
      </c>
      <c r="L423" s="13"/>
      <c r="M423" s="13"/>
      <c r="N423" s="143" t="s">
        <v>138</v>
      </c>
      <c r="O423" s="13"/>
      <c r="P423" s="13"/>
      <c r="Q423" s="13"/>
      <c r="R423" s="13"/>
      <c r="S423" s="13" t="s">
        <v>106</v>
      </c>
      <c r="T423" s="13" t="s">
        <v>36</v>
      </c>
      <c r="U423" s="139" t="s">
        <v>38</v>
      </c>
      <c r="V423" s="13" t="s">
        <v>107</v>
      </c>
      <c r="W423" s="13" t="s">
        <v>108</v>
      </c>
      <c r="X423" s="13" t="s">
        <v>109</v>
      </c>
      <c r="Y423" s="139" t="s">
        <v>44</v>
      </c>
      <c r="Z423" s="139" t="s">
        <v>46</v>
      </c>
      <c r="AA423" s="139" t="s">
        <v>48</v>
      </c>
      <c r="AB423" s="66" t="s">
        <v>110</v>
      </c>
    </row>
    <row r="424" spans="1:29" x14ac:dyDescent="0.2">
      <c r="B424" s="103">
        <v>-1</v>
      </c>
      <c r="C424" s="34"/>
      <c r="F424" s="12"/>
      <c r="G424" s="12"/>
      <c r="H424" s="12"/>
      <c r="I424" s="19"/>
      <c r="J424" s="12"/>
      <c r="K424" s="12"/>
      <c r="L424" s="12"/>
      <c r="M424" s="12"/>
      <c r="N424" s="12"/>
      <c r="O424" s="12"/>
      <c r="P424" s="12"/>
      <c r="Q424" s="12"/>
      <c r="R424" s="12"/>
      <c r="S424" s="50">
        <v>1</v>
      </c>
      <c r="T424" s="12"/>
      <c r="U424" s="12"/>
      <c r="V424" s="12"/>
      <c r="W424" s="12"/>
      <c r="X424" s="12"/>
      <c r="Y424" s="12"/>
      <c r="Z424" s="12"/>
      <c r="AA424" s="12"/>
    </row>
    <row r="425" spans="1:29" x14ac:dyDescent="0.2">
      <c r="A425" s="53"/>
      <c r="B425" s="103">
        <f>IF(AND('AES Indiana Bill Calc.'!$D$17="CB",'AES Indiana Bill Calc.'!$D$18="Yes 100%"),'AES Indiana Bill Calc.'!$D$19,-1)</f>
        <v>-1</v>
      </c>
      <c r="C425" s="1" t="s">
        <v>148</v>
      </c>
      <c r="F425" s="36" t="s">
        <v>59</v>
      </c>
      <c r="G425" s="17">
        <f>SUM(J425:M425,O425:P425,R425:AA425)</f>
        <v>19.91</v>
      </c>
      <c r="H425" s="19" t="e">
        <f>IF(ISBLANK(B425),0,+#REF!/B425)</f>
        <v>#REF!</v>
      </c>
      <c r="I425" s="19"/>
      <c r="J425" s="16">
        <f>IF(ISBLANK(B425),0,+J$420)</f>
        <v>20</v>
      </c>
      <c r="K425" s="16">
        <f>ROUND($B425*K$420,2)</f>
        <v>-0.08</v>
      </c>
      <c r="L425" s="16">
        <f>IF($B425&gt;K$200,ROUND(($B425-K$200)*L$420,2),0)</f>
        <v>0</v>
      </c>
      <c r="M425" s="8"/>
      <c r="N425" s="8">
        <f>SUM(K425:L425)</f>
        <v>-0.08</v>
      </c>
      <c r="O425" s="8"/>
      <c r="P425" s="8"/>
      <c r="Q425" s="8"/>
      <c r="R425" s="8"/>
      <c r="S425" s="17">
        <f>ROUND($B425*S$420*S424,2)</f>
        <v>0</v>
      </c>
      <c r="T425" s="17">
        <f t="shared" ref="T425:AA433" si="31">ROUND($B425*T$420,2)</f>
        <v>0</v>
      </c>
      <c r="U425" s="17">
        <f t="shared" si="31"/>
        <v>0</v>
      </c>
      <c r="V425" s="17">
        <f t="shared" si="31"/>
        <v>-0.01</v>
      </c>
      <c r="W425" s="17">
        <f t="shared" si="31"/>
        <v>0</v>
      </c>
      <c r="X425" s="17">
        <f t="shared" si="31"/>
        <v>0</v>
      </c>
      <c r="Y425" s="17">
        <f t="shared" si="31"/>
        <v>0</v>
      </c>
      <c r="Z425" s="17">
        <f t="shared" si="31"/>
        <v>0</v>
      </c>
      <c r="AA425" s="17">
        <f t="shared" si="31"/>
        <v>0</v>
      </c>
      <c r="AB425" s="19">
        <f>SUM(U420:AA420)</f>
        <v>1.0092E-2</v>
      </c>
      <c r="AC425" s="67" t="str">
        <f>+F425</f>
        <v>CB</v>
      </c>
    </row>
    <row r="426" spans="1:29" x14ac:dyDescent="0.2">
      <c r="B426" s="103">
        <v>-1</v>
      </c>
      <c r="C426" s="9"/>
      <c r="F426" s="12"/>
      <c r="G426" s="12"/>
      <c r="H426" s="12"/>
      <c r="I426" s="19"/>
      <c r="J426" s="12"/>
      <c r="K426" s="12"/>
      <c r="L426" s="12"/>
      <c r="M426" s="12"/>
      <c r="N426" s="12"/>
      <c r="O426" s="12"/>
      <c r="P426" s="12"/>
      <c r="Q426" s="12"/>
      <c r="R426" s="12"/>
      <c r="S426" s="50">
        <v>0.5</v>
      </c>
      <c r="T426" s="12"/>
      <c r="U426" s="12"/>
      <c r="V426" s="12"/>
      <c r="W426" s="12"/>
      <c r="X426" s="12"/>
      <c r="Y426" s="12"/>
      <c r="Z426" s="12"/>
      <c r="AA426" s="12"/>
    </row>
    <row r="427" spans="1:29" x14ac:dyDescent="0.2">
      <c r="A427" s="53"/>
      <c r="B427" s="103">
        <f>IF(AND('AES Indiana Bill Calc.'!$D$17="CB",'AES Indiana Bill Calc.'!$D$18="Yes 50%"),'AES Indiana Bill Calc.'!$D$19,-1)</f>
        <v>-1</v>
      </c>
      <c r="C427" s="1" t="s">
        <v>149</v>
      </c>
      <c r="F427" s="36" t="s">
        <v>59</v>
      </c>
      <c r="G427" s="17">
        <f>SUM(J427:M427,O427:P427,R427:AA427)</f>
        <v>19.91</v>
      </c>
      <c r="H427" s="19" t="e">
        <f>IF(ISBLANK(B427),0,+#REF!/B427)</f>
        <v>#REF!</v>
      </c>
      <c r="I427" s="19"/>
      <c r="J427" s="16">
        <f>IF(ISBLANK(B427),0,+J$420)</f>
        <v>20</v>
      </c>
      <c r="K427" s="16">
        <f>ROUND($B427*K$420,2)</f>
        <v>-0.08</v>
      </c>
      <c r="L427" s="16">
        <f>IF($B427&gt;K$200,ROUND(($B427-K$200)*L$420,2),0)</f>
        <v>0</v>
      </c>
      <c r="M427" s="8"/>
      <c r="N427" s="8">
        <f>SUM(K427:L427)</f>
        <v>-0.08</v>
      </c>
      <c r="O427" s="8"/>
      <c r="P427" s="8"/>
      <c r="Q427" s="8"/>
      <c r="R427" s="8"/>
      <c r="S427" s="17">
        <f>ROUND($B427*S$420*S426,2)</f>
        <v>0</v>
      </c>
      <c r="T427" s="17">
        <f t="shared" si="31"/>
        <v>0</v>
      </c>
      <c r="U427" s="17">
        <f t="shared" si="31"/>
        <v>0</v>
      </c>
      <c r="V427" s="17">
        <f t="shared" si="31"/>
        <v>-0.01</v>
      </c>
      <c r="W427" s="17">
        <f t="shared" si="31"/>
        <v>0</v>
      </c>
      <c r="X427" s="17">
        <f t="shared" si="31"/>
        <v>0</v>
      </c>
      <c r="Y427" s="17">
        <f t="shared" si="31"/>
        <v>0</v>
      </c>
      <c r="Z427" s="17">
        <f t="shared" si="31"/>
        <v>0</v>
      </c>
      <c r="AA427" s="17">
        <f t="shared" si="31"/>
        <v>0</v>
      </c>
      <c r="AB427" s="19">
        <f>SUM(U422:AA422)</f>
        <v>133</v>
      </c>
      <c r="AC427" s="67" t="str">
        <f>+F427</f>
        <v>CB</v>
      </c>
    </row>
    <row r="428" spans="1:29" x14ac:dyDescent="0.2">
      <c r="B428" s="103">
        <v>-1</v>
      </c>
      <c r="C428" s="9"/>
      <c r="F428" s="12"/>
      <c r="G428" s="12"/>
      <c r="H428" s="12"/>
      <c r="I428" s="19"/>
      <c r="J428" s="12"/>
      <c r="K428" s="12"/>
      <c r="L428" s="12"/>
      <c r="M428" s="12"/>
      <c r="N428" s="12"/>
      <c r="O428" s="12"/>
      <c r="P428" s="12"/>
      <c r="Q428" s="12"/>
      <c r="R428" s="12"/>
      <c r="S428" s="50">
        <v>0.25</v>
      </c>
      <c r="T428" s="12"/>
      <c r="U428" s="12"/>
      <c r="V428" s="12"/>
      <c r="W428" s="12"/>
      <c r="X428" s="12"/>
      <c r="Y428" s="12"/>
      <c r="Z428" s="12"/>
      <c r="AA428" s="12"/>
    </row>
    <row r="429" spans="1:29" x14ac:dyDescent="0.2">
      <c r="A429" s="53"/>
      <c r="B429" s="103">
        <f>IF(AND('AES Indiana Bill Calc.'!$D$17="CB",'AES Indiana Bill Calc.'!$D$18="Yes 25%"),'AES Indiana Bill Calc.'!$D$19,-1)</f>
        <v>-1</v>
      </c>
      <c r="C429" s="1" t="s">
        <v>150</v>
      </c>
      <c r="F429" s="36" t="s">
        <v>59</v>
      </c>
      <c r="G429" s="17">
        <f>SUM(J429:M429,O429:P429,R429:AA429)</f>
        <v>19.91</v>
      </c>
      <c r="H429" s="19" t="e">
        <f>IF(ISBLANK(B429),0,+#REF!/B429)</f>
        <v>#REF!</v>
      </c>
      <c r="I429" s="19"/>
      <c r="J429" s="16">
        <f>IF(ISBLANK(B429),0,+J$420)</f>
        <v>20</v>
      </c>
      <c r="K429" s="16">
        <f>ROUND($B429*K$420,2)</f>
        <v>-0.08</v>
      </c>
      <c r="L429" s="16">
        <f>IF($B429&gt;K$200,ROUND(($B429-K$200)*L$420,2),0)</f>
        <v>0</v>
      </c>
      <c r="M429" s="8"/>
      <c r="N429" s="8">
        <f>SUM(K429:L429)</f>
        <v>-0.08</v>
      </c>
      <c r="O429" s="8"/>
      <c r="P429" s="8"/>
      <c r="Q429" s="8"/>
      <c r="R429" s="8"/>
      <c r="S429" s="17">
        <f>ROUND($B429*S$420*S428,2)</f>
        <v>0</v>
      </c>
      <c r="T429" s="17">
        <f t="shared" si="31"/>
        <v>0</v>
      </c>
      <c r="U429" s="17">
        <f t="shared" si="31"/>
        <v>0</v>
      </c>
      <c r="V429" s="17">
        <f t="shared" si="31"/>
        <v>-0.01</v>
      </c>
      <c r="W429" s="17">
        <f t="shared" si="31"/>
        <v>0</v>
      </c>
      <c r="X429" s="17">
        <f t="shared" si="31"/>
        <v>0</v>
      </c>
      <c r="Y429" s="17">
        <f t="shared" si="31"/>
        <v>0</v>
      </c>
      <c r="Z429" s="17">
        <f t="shared" si="31"/>
        <v>0</v>
      </c>
      <c r="AA429" s="17">
        <f t="shared" si="31"/>
        <v>0</v>
      </c>
      <c r="AB429" s="19">
        <f>SUM(U424:AA424)</f>
        <v>0</v>
      </c>
      <c r="AC429" s="67" t="str">
        <f>+F429</f>
        <v>CB</v>
      </c>
    </row>
    <row r="430" spans="1:29" x14ac:dyDescent="0.2">
      <c r="B430" s="103">
        <v>-1</v>
      </c>
      <c r="C430" s="9"/>
      <c r="F430" s="12"/>
      <c r="G430" s="12"/>
      <c r="H430" s="12"/>
      <c r="I430" s="19"/>
      <c r="J430" s="12"/>
      <c r="K430" s="12"/>
      <c r="L430" s="12"/>
      <c r="M430" s="12"/>
      <c r="N430" s="12"/>
      <c r="O430" s="12"/>
      <c r="P430" s="12"/>
      <c r="Q430" s="12"/>
      <c r="R430" s="12"/>
      <c r="S430" s="50">
        <v>0.1</v>
      </c>
      <c r="T430" s="12"/>
      <c r="U430" s="12"/>
      <c r="V430" s="12"/>
      <c r="W430" s="12"/>
      <c r="X430" s="12"/>
      <c r="Y430" s="12"/>
      <c r="Z430" s="12"/>
      <c r="AA430" s="12"/>
    </row>
    <row r="431" spans="1:29" x14ac:dyDescent="0.2">
      <c r="A431" s="53"/>
      <c r="B431" s="103">
        <f>IF(AND('AES Indiana Bill Calc.'!$D$17="CB",'AES Indiana Bill Calc.'!$D$18="Yes 10%"),'AES Indiana Bill Calc.'!$D$19,-1)</f>
        <v>-1</v>
      </c>
      <c r="C431" s="1" t="s">
        <v>164</v>
      </c>
      <c r="F431" s="36" t="s">
        <v>59</v>
      </c>
      <c r="G431" s="17">
        <f>SUM(J431:M431,O431:P431,R431:AA431)</f>
        <v>19.91</v>
      </c>
      <c r="H431" s="19" t="e">
        <f>IF(ISBLANK(B431),0,+#REF!/B431)</f>
        <v>#REF!</v>
      </c>
      <c r="I431" s="19"/>
      <c r="J431" s="16">
        <f>IF(ISBLANK(B431),0,+J$420)</f>
        <v>20</v>
      </c>
      <c r="K431" s="16">
        <f>ROUND($B431*K$420,2)</f>
        <v>-0.08</v>
      </c>
      <c r="L431" s="16">
        <f>IF($B431&gt;K$200,ROUND(($B431-K$200)*L$420,2),0)</f>
        <v>0</v>
      </c>
      <c r="M431" s="8"/>
      <c r="N431" s="8">
        <f>SUM(K431:L431)</f>
        <v>-0.08</v>
      </c>
      <c r="O431" s="8"/>
      <c r="P431" s="8"/>
      <c r="Q431" s="8"/>
      <c r="R431" s="8"/>
      <c r="S431" s="17">
        <f>ROUND($B431*S$420*S430,2)</f>
        <v>0</v>
      </c>
      <c r="T431" s="17">
        <f t="shared" si="31"/>
        <v>0</v>
      </c>
      <c r="U431" s="17">
        <f t="shared" si="31"/>
        <v>0</v>
      </c>
      <c r="V431" s="17">
        <f t="shared" si="31"/>
        <v>-0.01</v>
      </c>
      <c r="W431" s="17">
        <f t="shared" si="31"/>
        <v>0</v>
      </c>
      <c r="X431" s="17">
        <f t="shared" si="31"/>
        <v>0</v>
      </c>
      <c r="Y431" s="17">
        <f t="shared" si="31"/>
        <v>0</v>
      </c>
      <c r="Z431" s="17">
        <f t="shared" si="31"/>
        <v>0</v>
      </c>
      <c r="AA431" s="17">
        <f t="shared" si="31"/>
        <v>0</v>
      </c>
      <c r="AB431" s="19">
        <f>SUM(U426:AA426)</f>
        <v>0</v>
      </c>
      <c r="AC431" s="67" t="str">
        <f>+F431</f>
        <v>CB</v>
      </c>
    </row>
    <row r="432" spans="1:29" x14ac:dyDescent="0.2">
      <c r="B432" s="103">
        <v>-1</v>
      </c>
      <c r="C432" s="9"/>
      <c r="F432" s="12"/>
      <c r="G432" s="12"/>
      <c r="H432" s="12"/>
      <c r="I432" s="19"/>
      <c r="J432" s="12"/>
      <c r="K432" s="12"/>
      <c r="L432" s="12"/>
      <c r="M432" s="12"/>
      <c r="N432" s="12"/>
      <c r="O432" s="12"/>
      <c r="P432" s="12"/>
      <c r="Q432" s="12"/>
      <c r="R432" s="12"/>
      <c r="S432" s="50">
        <v>0</v>
      </c>
      <c r="T432" s="12"/>
      <c r="U432" s="12"/>
      <c r="V432" s="12"/>
      <c r="W432" s="12"/>
      <c r="X432" s="12"/>
      <c r="Y432" s="12"/>
      <c r="Z432" s="12"/>
      <c r="AA432" s="12"/>
    </row>
    <row r="433" spans="1:29" x14ac:dyDescent="0.2">
      <c r="A433" s="53"/>
      <c r="B433" s="103">
        <f>IF(AND('AES Indiana Bill Calc.'!$D$17="CB",'AES Indiana Bill Calc.'!$D$18="No"),'AES Indiana Bill Calc.'!$D$19,-1)</f>
        <v>-1</v>
      </c>
      <c r="C433" s="1" t="s">
        <v>147</v>
      </c>
      <c r="F433" s="36" t="s">
        <v>59</v>
      </c>
      <c r="G433" s="17">
        <f>SUM(J433:M433,O433:P433,R433:AA433)</f>
        <v>19.91</v>
      </c>
      <c r="H433" s="19" t="e">
        <f>IF(ISBLANK(B433),0,+#REF!/B433)</f>
        <v>#REF!</v>
      </c>
      <c r="I433" s="19"/>
      <c r="J433" s="16">
        <f>IF(ISBLANK(B433),0,+J$420)</f>
        <v>20</v>
      </c>
      <c r="K433" s="16">
        <f>ROUND($B433*K$420,2)</f>
        <v>-0.08</v>
      </c>
      <c r="L433" s="16">
        <f>IF($B433&gt;K$200,ROUND(($B433-K$200)*L$420,2),0)</f>
        <v>0</v>
      </c>
      <c r="M433" s="8"/>
      <c r="N433" s="8">
        <f>SUM(K433:L433)</f>
        <v>-0.08</v>
      </c>
      <c r="O433" s="8"/>
      <c r="P433" s="8"/>
      <c r="Q433" s="8"/>
      <c r="R433" s="8"/>
      <c r="S433" s="17">
        <f>ROUND($B433*S$420*S432,2)</f>
        <v>0</v>
      </c>
      <c r="T433" s="17">
        <f t="shared" si="31"/>
        <v>0</v>
      </c>
      <c r="U433" s="17">
        <f t="shared" si="31"/>
        <v>0</v>
      </c>
      <c r="V433" s="17">
        <f t="shared" si="31"/>
        <v>-0.01</v>
      </c>
      <c r="W433" s="17">
        <f t="shared" si="31"/>
        <v>0</v>
      </c>
      <c r="X433" s="17">
        <f t="shared" si="31"/>
        <v>0</v>
      </c>
      <c r="Y433" s="17">
        <f t="shared" si="31"/>
        <v>0</v>
      </c>
      <c r="Z433" s="17">
        <f t="shared" si="31"/>
        <v>0</v>
      </c>
      <c r="AA433" s="17">
        <f t="shared" si="31"/>
        <v>0</v>
      </c>
      <c r="AB433" s="19">
        <f>SUM(U428:AA428)</f>
        <v>0</v>
      </c>
      <c r="AC433" s="67" t="str">
        <f>+F433</f>
        <v>CB</v>
      </c>
    </row>
    <row r="434" spans="1:29" x14ac:dyDescent="0.2">
      <c r="B434" s="103">
        <v>-1</v>
      </c>
      <c r="C434" s="40"/>
      <c r="G434" s="42"/>
      <c r="H434" s="19"/>
      <c r="I434" s="19"/>
      <c r="J434" s="41"/>
      <c r="K434" s="42"/>
      <c r="L434" s="41"/>
      <c r="M434" s="41"/>
      <c r="N434" s="41"/>
      <c r="O434" s="41"/>
      <c r="P434" s="41"/>
      <c r="Q434" s="41"/>
      <c r="R434" s="41"/>
      <c r="S434" s="42"/>
      <c r="T434" s="42"/>
      <c r="U434" s="42"/>
      <c r="V434" s="42"/>
      <c r="W434" s="42"/>
      <c r="X434" s="42"/>
      <c r="Y434" s="42"/>
      <c r="Z434" s="42"/>
      <c r="AA434" s="42"/>
    </row>
    <row r="435" spans="1:29" x14ac:dyDescent="0.2">
      <c r="B435" s="103">
        <v>-1</v>
      </c>
      <c r="H435" s="19"/>
      <c r="I435" s="19"/>
      <c r="J435" s="8"/>
      <c r="K435" s="17"/>
      <c r="L435" s="8"/>
      <c r="M435" s="8"/>
      <c r="N435" s="8"/>
      <c r="O435" s="8"/>
      <c r="P435" s="8"/>
      <c r="Q435" s="8"/>
      <c r="R435" s="8"/>
      <c r="S435" s="17"/>
      <c r="T435" s="17"/>
      <c r="U435" s="17"/>
      <c r="V435" s="17"/>
      <c r="W435" s="17"/>
      <c r="X435" s="17"/>
      <c r="Y435" s="17"/>
      <c r="Z435" s="17"/>
      <c r="AA435" s="17"/>
    </row>
    <row r="436" spans="1:29" x14ac:dyDescent="0.2">
      <c r="B436" s="103">
        <v>-1</v>
      </c>
      <c r="C436" s="4"/>
      <c r="I436" s="19"/>
      <c r="J436" s="161">
        <v>40</v>
      </c>
      <c r="K436" s="162">
        <v>8.9470999999999995E-2</v>
      </c>
      <c r="L436" s="5">
        <v>0</v>
      </c>
      <c r="M436" s="5"/>
      <c r="N436" s="5"/>
      <c r="O436" s="5"/>
      <c r="P436" s="5"/>
      <c r="Q436" s="5"/>
      <c r="R436" s="5"/>
      <c r="S436" s="27">
        <f>+M$4</f>
        <v>3.0000000000000001E-3</v>
      </c>
      <c r="T436" s="27">
        <f t="shared" ref="T436:AA436" si="32">+R$4</f>
        <v>-3.4320000000000002E-3</v>
      </c>
      <c r="U436" s="27">
        <f>+S$3</f>
        <v>1.8929999999999999E-3</v>
      </c>
      <c r="V436" s="27">
        <f t="shared" si="32"/>
        <v>6.6499999999999997E-3</v>
      </c>
      <c r="W436" s="27">
        <f t="shared" si="32"/>
        <v>0</v>
      </c>
      <c r="X436" s="27">
        <f t="shared" si="32"/>
        <v>3.2620000000000001E-3</v>
      </c>
      <c r="Y436" s="27">
        <f t="shared" si="32"/>
        <v>-1.3760000000000001E-3</v>
      </c>
      <c r="Z436" s="27">
        <f t="shared" si="32"/>
        <v>4.8899999999999996E-4</v>
      </c>
      <c r="AA436" s="27">
        <f t="shared" si="32"/>
        <v>-4.5600000000000003E-4</v>
      </c>
      <c r="AB436" s="19">
        <f>SUM(U436:Z436)</f>
        <v>1.0917999999999999E-2</v>
      </c>
    </row>
    <row r="437" spans="1:29" x14ac:dyDescent="0.2">
      <c r="A437" s="1"/>
      <c r="B437" s="103">
        <v>-1</v>
      </c>
      <c r="C437" s="37"/>
      <c r="I437" s="19"/>
      <c r="J437" s="72"/>
      <c r="K437" s="73">
        <v>999999</v>
      </c>
    </row>
    <row r="438" spans="1:29" x14ac:dyDescent="0.2">
      <c r="B438" s="103">
        <v>-1</v>
      </c>
      <c r="F438" s="12"/>
      <c r="I438" s="19"/>
      <c r="J438" s="12" t="s">
        <v>137</v>
      </c>
      <c r="K438" s="204" t="s">
        <v>28</v>
      </c>
      <c r="L438" s="204"/>
      <c r="M438" s="12"/>
      <c r="N438" s="12"/>
      <c r="O438" s="12"/>
      <c r="P438" s="12"/>
      <c r="Q438" s="143" t="s">
        <v>173</v>
      </c>
      <c r="R438" s="12"/>
      <c r="S438" s="12">
        <v>21</v>
      </c>
      <c r="T438" s="12">
        <v>6</v>
      </c>
      <c r="U438" s="12">
        <v>3</v>
      </c>
      <c r="V438" s="12">
        <v>22</v>
      </c>
      <c r="W438" s="12">
        <v>13</v>
      </c>
      <c r="X438" s="12">
        <v>20</v>
      </c>
      <c r="Y438" s="12">
        <v>24</v>
      </c>
      <c r="Z438" s="12">
        <v>25</v>
      </c>
      <c r="AA438" s="12">
        <v>26</v>
      </c>
    </row>
    <row r="439" spans="1:29" x14ac:dyDescent="0.2">
      <c r="A439" s="13"/>
      <c r="B439" s="14" t="s">
        <v>140</v>
      </c>
      <c r="C439" s="14" t="s">
        <v>192</v>
      </c>
      <c r="D439" s="15"/>
      <c r="F439" s="13" t="s">
        <v>141</v>
      </c>
      <c r="G439" s="13" t="s">
        <v>142</v>
      </c>
      <c r="H439" s="13" t="s">
        <v>143</v>
      </c>
      <c r="I439" s="19"/>
      <c r="J439" s="13" t="s">
        <v>144</v>
      </c>
      <c r="K439" s="13" t="s">
        <v>174</v>
      </c>
      <c r="L439" s="13"/>
      <c r="M439" s="13"/>
      <c r="N439" s="143" t="s">
        <v>138</v>
      </c>
      <c r="O439" s="13"/>
      <c r="P439" s="13"/>
      <c r="Q439" s="13"/>
      <c r="R439" s="13"/>
      <c r="S439" s="13" t="s">
        <v>106</v>
      </c>
      <c r="T439" s="13" t="s">
        <v>36</v>
      </c>
      <c r="U439" s="139" t="s">
        <v>38</v>
      </c>
      <c r="V439" s="13" t="s">
        <v>107</v>
      </c>
      <c r="W439" s="13" t="s">
        <v>108</v>
      </c>
      <c r="X439" s="13" t="s">
        <v>109</v>
      </c>
      <c r="Y439" s="139" t="s">
        <v>44</v>
      </c>
      <c r="Z439" s="139" t="s">
        <v>46</v>
      </c>
      <c r="AA439" s="139" t="s">
        <v>48</v>
      </c>
      <c r="AB439" s="66" t="s">
        <v>110</v>
      </c>
    </row>
    <row r="440" spans="1:29" x14ac:dyDescent="0.2">
      <c r="B440" s="126">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x14ac:dyDescent="0.2">
      <c r="A441" s="53"/>
      <c r="B441" s="103">
        <f>IF(AND('AES Indiana Bill Calc.'!$D$17="UW",'AES Indiana Bill Calc.'!$D$18="Yes 100%"),'AES Indiana Bill Calc.'!$D$19,-1)</f>
        <v>-1</v>
      </c>
      <c r="C441" s="1" t="s">
        <v>148</v>
      </c>
      <c r="F441" s="36" t="s">
        <v>60</v>
      </c>
      <c r="G441" s="17">
        <f>SUM(J441:M441,O441:P441,R441:AA441)</f>
        <v>39.9</v>
      </c>
      <c r="H441" s="19" t="e">
        <f>IF(ISBLANK(B441),0,+#REF!/B441)</f>
        <v>#REF!</v>
      </c>
      <c r="I441" s="19"/>
      <c r="J441" s="16">
        <f>IF(ISBLANK(B441),0,+J$436)</f>
        <v>40</v>
      </c>
      <c r="K441" s="16">
        <f>ROUND($B441*K$436,2)</f>
        <v>-0.09</v>
      </c>
      <c r="L441" s="16">
        <f>IF($B441&gt;K$200,ROUND(($B441-K$200)*L$436,2),0)</f>
        <v>0</v>
      </c>
      <c r="M441" s="8"/>
      <c r="N441" s="8">
        <f>SUM(K441:L441)</f>
        <v>-0.09</v>
      </c>
      <c r="O441" s="8"/>
      <c r="P441" s="8"/>
      <c r="Q441" s="8"/>
      <c r="R441" s="8"/>
      <c r="S441" s="17">
        <f>ROUND($B441*S$436*S440,2)</f>
        <v>0</v>
      </c>
      <c r="T441" s="17">
        <f t="shared" ref="T441:AA449" si="33">ROUND($B441*T$436,2)</f>
        <v>0</v>
      </c>
      <c r="U441" s="17">
        <f t="shared" si="33"/>
        <v>0</v>
      </c>
      <c r="V441" s="17">
        <f t="shared" si="33"/>
        <v>-0.01</v>
      </c>
      <c r="W441" s="17">
        <f t="shared" si="33"/>
        <v>0</v>
      </c>
      <c r="X441" s="17">
        <f t="shared" si="33"/>
        <v>0</v>
      </c>
      <c r="Y441" s="17">
        <f t="shared" si="33"/>
        <v>0</v>
      </c>
      <c r="Z441" s="17">
        <f t="shared" si="33"/>
        <v>0</v>
      </c>
      <c r="AA441" s="17">
        <f t="shared" si="33"/>
        <v>0</v>
      </c>
      <c r="AB441" s="19">
        <f>SUM(U436:AA436)</f>
        <v>1.0461999999999999E-2</v>
      </c>
      <c r="AC441" s="67" t="str">
        <f>+F441</f>
        <v>UW</v>
      </c>
    </row>
    <row r="442" spans="1:29" x14ac:dyDescent="0.2">
      <c r="B442" s="126">
        <v>-1</v>
      </c>
      <c r="C442" s="9"/>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x14ac:dyDescent="0.2">
      <c r="A443" s="53"/>
      <c r="B443" s="103">
        <f>IF(AND('AES Indiana Bill Calc.'!$D$17="UW",'AES Indiana Bill Calc.'!$D$18="Yes 50%"),'AES Indiana Bill Calc.'!$D$19,-1)</f>
        <v>-1</v>
      </c>
      <c r="C443" s="1" t="s">
        <v>149</v>
      </c>
      <c r="F443" s="36" t="s">
        <v>60</v>
      </c>
      <c r="G443" s="17">
        <f>SUM(J443:M443,O443:P443,R443:AA443)</f>
        <v>39.9</v>
      </c>
      <c r="H443" s="19" t="e">
        <f>IF(ISBLANK(B443),0,+#REF!/B443)</f>
        <v>#REF!</v>
      </c>
      <c r="I443" s="19"/>
      <c r="J443" s="16">
        <f>IF(ISBLANK(B443),0,+J$436)</f>
        <v>40</v>
      </c>
      <c r="K443" s="16">
        <f>ROUND($B443*K$436,2)</f>
        <v>-0.09</v>
      </c>
      <c r="L443" s="16">
        <f>IF($B443&gt;K$200,ROUND(($B443-K$200)*L$436,2),0)</f>
        <v>0</v>
      </c>
      <c r="M443" s="8"/>
      <c r="N443" s="8">
        <f>SUM(K443:L443)</f>
        <v>-0.09</v>
      </c>
      <c r="O443" s="8"/>
      <c r="P443" s="8"/>
      <c r="Q443" s="8"/>
      <c r="R443" s="8"/>
      <c r="S443" s="17">
        <f>ROUND($B443*S$436*S442,2)</f>
        <v>0</v>
      </c>
      <c r="T443" s="17">
        <f t="shared" si="33"/>
        <v>0</v>
      </c>
      <c r="U443" s="17">
        <f t="shared" si="33"/>
        <v>0</v>
      </c>
      <c r="V443" s="17">
        <f t="shared" si="33"/>
        <v>-0.01</v>
      </c>
      <c r="W443" s="17">
        <f t="shared" si="33"/>
        <v>0</v>
      </c>
      <c r="X443" s="17">
        <f t="shared" si="33"/>
        <v>0</v>
      </c>
      <c r="Y443" s="17">
        <f t="shared" si="33"/>
        <v>0</v>
      </c>
      <c r="Z443" s="17">
        <f t="shared" si="33"/>
        <v>0</v>
      </c>
      <c r="AA443" s="17">
        <f t="shared" si="33"/>
        <v>0</v>
      </c>
      <c r="AB443" s="19">
        <f>SUM(U438:AA438)</f>
        <v>133</v>
      </c>
      <c r="AC443" s="67" t="str">
        <f>+F443</f>
        <v>UW</v>
      </c>
    </row>
    <row r="444" spans="1:29" x14ac:dyDescent="0.2">
      <c r="B444" s="126">
        <v>-1</v>
      </c>
      <c r="C444" s="9"/>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x14ac:dyDescent="0.2">
      <c r="A445" s="53"/>
      <c r="B445" s="103">
        <f>IF(AND('AES Indiana Bill Calc.'!$D$17="UW",'AES Indiana Bill Calc.'!$D$18="Yes 25%"),'AES Indiana Bill Calc.'!$D$19,-1)</f>
        <v>-1</v>
      </c>
      <c r="C445" s="1" t="s">
        <v>150</v>
      </c>
      <c r="F445" s="36" t="s">
        <v>60</v>
      </c>
      <c r="G445" s="17">
        <f>SUM(J445:M445,O445:P445,R445:AA445)</f>
        <v>39.9</v>
      </c>
      <c r="H445" s="19" t="e">
        <f>IF(ISBLANK(B445),0,+#REF!/B445)</f>
        <v>#REF!</v>
      </c>
      <c r="I445" s="19"/>
      <c r="J445" s="16">
        <f>IF(ISBLANK(B445),0,+J$436)</f>
        <v>40</v>
      </c>
      <c r="K445" s="16">
        <f>ROUND($B445*K$436,2)</f>
        <v>-0.09</v>
      </c>
      <c r="L445" s="16">
        <f>IF($B445&gt;K$200,ROUND(($B445-K$200)*L$436,2),0)</f>
        <v>0</v>
      </c>
      <c r="M445" s="8"/>
      <c r="N445" s="8">
        <f>SUM(K445:L445)</f>
        <v>-0.09</v>
      </c>
      <c r="O445" s="8"/>
      <c r="P445" s="8"/>
      <c r="Q445" s="8"/>
      <c r="R445" s="8"/>
      <c r="S445" s="17">
        <f>ROUND($B445*S$436*S444,2)</f>
        <v>0</v>
      </c>
      <c r="T445" s="17">
        <f t="shared" si="33"/>
        <v>0</v>
      </c>
      <c r="U445" s="17">
        <f t="shared" si="33"/>
        <v>0</v>
      </c>
      <c r="V445" s="17">
        <f t="shared" si="33"/>
        <v>-0.01</v>
      </c>
      <c r="W445" s="17">
        <f t="shared" si="33"/>
        <v>0</v>
      </c>
      <c r="X445" s="17">
        <f t="shared" si="33"/>
        <v>0</v>
      </c>
      <c r="Y445" s="17">
        <f t="shared" si="33"/>
        <v>0</v>
      </c>
      <c r="Z445" s="17">
        <f t="shared" si="33"/>
        <v>0</v>
      </c>
      <c r="AA445" s="17">
        <f t="shared" si="33"/>
        <v>0</v>
      </c>
      <c r="AB445" s="19">
        <f>SUM(U440:AA440)</f>
        <v>0</v>
      </c>
      <c r="AC445" s="67" t="str">
        <f>+F445</f>
        <v>UW</v>
      </c>
    </row>
    <row r="446" spans="1:29" x14ac:dyDescent="0.2">
      <c r="B446" s="126">
        <v>-1</v>
      </c>
      <c r="C446" s="9"/>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x14ac:dyDescent="0.2">
      <c r="A447" s="53"/>
      <c r="B447" s="103">
        <f>IF(AND('AES Indiana Bill Calc.'!$D$17="UW",'AES Indiana Bill Calc.'!$D$18="Yes 10%"),'AES Indiana Bill Calc.'!$D$19,-1)</f>
        <v>-1</v>
      </c>
      <c r="C447" s="1" t="s">
        <v>164</v>
      </c>
      <c r="F447" s="36" t="s">
        <v>60</v>
      </c>
      <c r="G447" s="17">
        <f>SUM(J447:M447,O447:P447,R447:AA447)</f>
        <v>39.9</v>
      </c>
      <c r="H447" s="19" t="e">
        <f>IF(ISBLANK(B447),0,+#REF!/B447)</f>
        <v>#REF!</v>
      </c>
      <c r="I447" s="19"/>
      <c r="J447" s="16">
        <f>IF(ISBLANK(B447),0,+J$436)</f>
        <v>40</v>
      </c>
      <c r="K447" s="16">
        <f>ROUND($B447*K$436,2)</f>
        <v>-0.09</v>
      </c>
      <c r="L447" s="16">
        <f>IF($B447&gt;K$200,ROUND(($B447-K$200)*L$436,2),0)</f>
        <v>0</v>
      </c>
      <c r="M447" s="8"/>
      <c r="N447" s="8">
        <f>SUM(K447:L447)</f>
        <v>-0.09</v>
      </c>
      <c r="O447" s="8"/>
      <c r="P447" s="8"/>
      <c r="Q447" s="8"/>
      <c r="R447" s="8"/>
      <c r="S447" s="17">
        <f>ROUND($B447*S$436*S446,2)</f>
        <v>0</v>
      </c>
      <c r="T447" s="17">
        <f t="shared" si="33"/>
        <v>0</v>
      </c>
      <c r="U447" s="17">
        <f t="shared" si="33"/>
        <v>0</v>
      </c>
      <c r="V447" s="17">
        <f t="shared" si="33"/>
        <v>-0.01</v>
      </c>
      <c r="W447" s="17">
        <f t="shared" si="33"/>
        <v>0</v>
      </c>
      <c r="X447" s="17">
        <f t="shared" si="33"/>
        <v>0</v>
      </c>
      <c r="Y447" s="17">
        <f t="shared" si="33"/>
        <v>0</v>
      </c>
      <c r="Z447" s="17">
        <f t="shared" si="33"/>
        <v>0</v>
      </c>
      <c r="AA447" s="17">
        <f t="shared" si="33"/>
        <v>0</v>
      </c>
      <c r="AB447" s="19">
        <f>SUM(U442:AA442)</f>
        <v>0</v>
      </c>
      <c r="AC447" s="67" t="str">
        <f>+F447</f>
        <v>UW</v>
      </c>
    </row>
    <row r="448" spans="1:29" x14ac:dyDescent="0.2">
      <c r="B448" s="126">
        <v>-1</v>
      </c>
      <c r="C448" s="9"/>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x14ac:dyDescent="0.2">
      <c r="A449" s="53"/>
      <c r="B449" s="103">
        <f>IF(AND('AES Indiana Bill Calc.'!$D$17="UW",'AES Indiana Bill Calc.'!$D$18="No"),'AES Indiana Bill Calc.'!$D$19,-1)</f>
        <v>-1</v>
      </c>
      <c r="C449" s="1" t="s">
        <v>147</v>
      </c>
      <c r="F449" s="36" t="s">
        <v>60</v>
      </c>
      <c r="G449" s="17">
        <f>SUM(J449:M449,O449:P449,R449:AA449)</f>
        <v>39.9</v>
      </c>
      <c r="H449" s="19" t="e">
        <f>IF(ISBLANK(B449),0,+#REF!/B449)</f>
        <v>#REF!</v>
      </c>
      <c r="I449" s="19"/>
      <c r="J449" s="16">
        <f>IF(ISBLANK(B449),0,+J$436)</f>
        <v>40</v>
      </c>
      <c r="K449" s="16">
        <f>ROUND($B449*K$436,2)</f>
        <v>-0.09</v>
      </c>
      <c r="L449" s="16">
        <f>IF($B449&gt;K$200,ROUND(($B449-K$200)*L$436,2),0)</f>
        <v>0</v>
      </c>
      <c r="M449" s="8"/>
      <c r="N449" s="8">
        <f>SUM(K449:L449)</f>
        <v>-0.09</v>
      </c>
      <c r="O449" s="8"/>
      <c r="P449" s="8"/>
      <c r="Q449" s="8"/>
      <c r="R449" s="8"/>
      <c r="S449" s="17">
        <f>ROUND($B449*S$436*S448,2)</f>
        <v>0</v>
      </c>
      <c r="T449" s="17">
        <f t="shared" si="33"/>
        <v>0</v>
      </c>
      <c r="U449" s="17">
        <f t="shared" si="33"/>
        <v>0</v>
      </c>
      <c r="V449" s="17">
        <f t="shared" si="33"/>
        <v>-0.01</v>
      </c>
      <c r="W449" s="17">
        <f t="shared" si="33"/>
        <v>0</v>
      </c>
      <c r="X449" s="17">
        <f t="shared" si="33"/>
        <v>0</v>
      </c>
      <c r="Y449" s="17">
        <f t="shared" si="33"/>
        <v>0</v>
      </c>
      <c r="Z449" s="17">
        <f t="shared" si="33"/>
        <v>0</v>
      </c>
      <c r="AA449" s="17">
        <f t="shared" si="33"/>
        <v>0</v>
      </c>
      <c r="AB449" s="19">
        <f>SUM(U444:AA444)</f>
        <v>0</v>
      </c>
      <c r="AC449" s="67" t="str">
        <f>+F449</f>
        <v>UW</v>
      </c>
    </row>
    <row r="450" spans="1:29" ht="13.5" thickBot="1" x14ac:dyDescent="0.25">
      <c r="A450" s="21"/>
      <c r="B450" s="125">
        <v>-1</v>
      </c>
      <c r="C450" s="28"/>
      <c r="D450" s="21"/>
      <c r="F450" s="21"/>
      <c r="G450" s="23"/>
      <c r="H450" s="25"/>
      <c r="I450" s="19"/>
      <c r="J450" s="24"/>
      <c r="K450" s="23"/>
      <c r="L450" s="24"/>
      <c r="M450" s="24"/>
      <c r="N450" s="24"/>
      <c r="O450" s="24"/>
      <c r="P450" s="24"/>
      <c r="Q450" s="24"/>
      <c r="R450" s="24"/>
      <c r="S450" s="23"/>
      <c r="T450" s="23"/>
      <c r="U450" s="23"/>
      <c r="V450" s="23"/>
      <c r="W450" s="23"/>
      <c r="X450" s="23"/>
      <c r="Y450" s="23"/>
      <c r="Z450" s="23"/>
      <c r="AA450" s="23"/>
      <c r="AB450" s="25"/>
    </row>
    <row r="451" spans="1:29" x14ac:dyDescent="0.2">
      <c r="B451" s="126">
        <v>-1</v>
      </c>
      <c r="G451" s="17"/>
      <c r="H451" s="19"/>
      <c r="I451" s="19"/>
      <c r="J451" s="8"/>
      <c r="K451" s="17"/>
      <c r="L451" s="8"/>
      <c r="M451" s="8"/>
      <c r="N451" s="8"/>
      <c r="O451" s="8"/>
      <c r="P451" s="8"/>
      <c r="Q451" s="8"/>
      <c r="R451" s="8"/>
      <c r="S451" s="17"/>
      <c r="T451" s="17"/>
      <c r="U451" s="17"/>
      <c r="V451" s="27">
        <f>+T10</f>
        <v>0</v>
      </c>
      <c r="W451" s="6" t="s">
        <v>172</v>
      </c>
      <c r="X451" s="17"/>
      <c r="Y451" s="17"/>
      <c r="Z451" s="17"/>
      <c r="AA451" s="17"/>
      <c r="AB451" s="19" t="e">
        <f>+AB$461-V$461+#REF!</f>
        <v>#REF!</v>
      </c>
    </row>
    <row r="452" spans="1:29" x14ac:dyDescent="0.2">
      <c r="B452" s="126">
        <v>-1</v>
      </c>
      <c r="L452" t="s">
        <v>193</v>
      </c>
      <c r="M452" t="s">
        <v>193</v>
      </c>
      <c r="S452" s="6"/>
      <c r="T452" s="6"/>
      <c r="U452" s="6"/>
      <c r="V452" s="27">
        <f>+T12</f>
        <v>0</v>
      </c>
      <c r="W452" s="6" t="s">
        <v>154</v>
      </c>
      <c r="X452" s="6"/>
      <c r="Y452" s="6"/>
      <c r="Z452" s="6"/>
      <c r="AA452" s="6"/>
      <c r="AB452" s="19">
        <f>+AB$461-V$461+V451</f>
        <v>2.7919999999999985E-3</v>
      </c>
    </row>
    <row r="453" spans="1:29" x14ac:dyDescent="0.2">
      <c r="B453" s="126">
        <v>-1</v>
      </c>
      <c r="S453" s="6"/>
      <c r="T453" s="6"/>
      <c r="U453" s="6"/>
      <c r="V453" s="27">
        <f>+T14</f>
        <v>0</v>
      </c>
      <c r="W453" s="6" t="s">
        <v>155</v>
      </c>
      <c r="X453" s="6"/>
      <c r="Y453" s="6"/>
      <c r="Z453" s="6"/>
      <c r="AA453" s="6"/>
      <c r="AB453" s="19">
        <f>+AB$461-V$461+V452</f>
        <v>2.7919999999999985E-3</v>
      </c>
    </row>
    <row r="454" spans="1:29" x14ac:dyDescent="0.2">
      <c r="B454" s="126">
        <v>-1</v>
      </c>
      <c r="S454" s="6"/>
      <c r="T454" s="6"/>
      <c r="U454" s="6"/>
      <c r="V454" s="27">
        <f>T16</f>
        <v>-4.3999999999999999E-5</v>
      </c>
      <c r="W454" s="6" t="s">
        <v>156</v>
      </c>
      <c r="X454" s="6"/>
      <c r="Y454" s="6"/>
      <c r="Z454" s="6"/>
      <c r="AA454" s="6"/>
      <c r="AB454" s="19">
        <f>+AB$461-V$461+V453</f>
        <v>2.7919999999999985E-3</v>
      </c>
    </row>
    <row r="455" spans="1:29" x14ac:dyDescent="0.2">
      <c r="B455" s="126">
        <v>-1</v>
      </c>
      <c r="S455" s="6"/>
      <c r="T455" s="6"/>
      <c r="U455" s="6"/>
      <c r="V455" s="27">
        <f>$T$19</f>
        <v>1.15E-4</v>
      </c>
      <c r="W455" s="6" t="s">
        <v>157</v>
      </c>
      <c r="X455" s="6"/>
      <c r="Y455" s="6"/>
      <c r="Z455" s="6"/>
      <c r="AA455" s="6"/>
      <c r="AB455" s="19"/>
    </row>
    <row r="456" spans="1:29" x14ac:dyDescent="0.2">
      <c r="B456" s="126">
        <v>-1</v>
      </c>
      <c r="S456" s="6"/>
      <c r="T456" s="6"/>
      <c r="U456" s="6"/>
      <c r="V456" s="27">
        <f>$T$21</f>
        <v>4.6099999999999998E-4</v>
      </c>
      <c r="W456" s="6" t="s">
        <v>158</v>
      </c>
      <c r="X456" s="6"/>
      <c r="Y456" s="6"/>
      <c r="Z456" s="6"/>
      <c r="AA456" s="6"/>
      <c r="AB456" s="19"/>
    </row>
    <row r="457" spans="1:29" x14ac:dyDescent="0.2">
      <c r="B457" s="126">
        <v>-1</v>
      </c>
      <c r="S457" s="6"/>
      <c r="T457" s="6"/>
      <c r="U457" s="6"/>
      <c r="V457" s="27">
        <f>$T$23</f>
        <v>-8.1300000000000003E-4</v>
      </c>
      <c r="W457" s="6" t="s">
        <v>159</v>
      </c>
      <c r="X457" s="6"/>
      <c r="Y457" s="6"/>
      <c r="Z457" s="6"/>
      <c r="AA457" s="6"/>
      <c r="AB457" s="19"/>
    </row>
    <row r="458" spans="1:29" x14ac:dyDescent="0.2">
      <c r="B458" s="126">
        <v>-1</v>
      </c>
      <c r="S458" s="6"/>
      <c r="T458" s="6"/>
      <c r="U458" s="6"/>
      <c r="V458" s="27">
        <f>$T$25</f>
        <v>0</v>
      </c>
      <c r="W458" s="6" t="s">
        <v>160</v>
      </c>
      <c r="X458" s="6"/>
      <c r="Y458" s="6"/>
      <c r="Z458" s="6"/>
      <c r="AA458" s="6"/>
      <c r="AB458" s="19"/>
    </row>
    <row r="459" spans="1:29" x14ac:dyDescent="0.2">
      <c r="B459" s="126">
        <v>-1</v>
      </c>
      <c r="S459" s="6"/>
      <c r="T459" s="6"/>
      <c r="U459" s="6"/>
      <c r="V459" s="19">
        <f>T27</f>
        <v>0</v>
      </c>
      <c r="W459" s="6" t="s">
        <v>161</v>
      </c>
      <c r="X459" s="6"/>
      <c r="Y459" s="6"/>
      <c r="Z459" s="6"/>
      <c r="AA459" s="6"/>
      <c r="AB459" s="19"/>
    </row>
    <row r="460" spans="1:29" x14ac:dyDescent="0.2">
      <c r="B460" s="126"/>
      <c r="S460" s="6"/>
      <c r="T460" s="6"/>
      <c r="U460" s="6"/>
      <c r="V460" s="19">
        <f>T29</f>
        <v>2.6050000000000001E-3</v>
      </c>
      <c r="W460" s="6" t="s">
        <v>301</v>
      </c>
      <c r="X460" s="6"/>
      <c r="Y460" s="6"/>
      <c r="Z460" s="6"/>
      <c r="AA460" s="6"/>
      <c r="AB460" s="19"/>
    </row>
    <row r="461" spans="1:29" x14ac:dyDescent="0.2">
      <c r="B461" s="126">
        <v>-1</v>
      </c>
      <c r="C461" s="33" t="s">
        <v>194</v>
      </c>
      <c r="D461" s="70"/>
      <c r="F461" s="70"/>
      <c r="G461" s="70"/>
      <c r="H461" s="70"/>
      <c r="I461" s="70"/>
      <c r="J461" s="161">
        <v>120</v>
      </c>
      <c r="K461" s="162">
        <v>4.1430000000000002E-2</v>
      </c>
      <c r="L461" s="165"/>
      <c r="M461" s="161">
        <v>24.74</v>
      </c>
      <c r="N461" s="72"/>
      <c r="O461" s="161">
        <v>24.74</v>
      </c>
      <c r="P461" s="72"/>
      <c r="Q461" s="72"/>
      <c r="R461" s="5"/>
      <c r="S461" s="27">
        <f>+M$5</f>
        <v>3.0000000000000001E-3</v>
      </c>
      <c r="T461" s="27">
        <f t="shared" ref="T461:AA461" si="34">+R$5</f>
        <v>-3.4320000000000002E-3</v>
      </c>
      <c r="U461" s="27">
        <f t="shared" si="34"/>
        <v>6.1300000000000005E-4</v>
      </c>
      <c r="V461" s="27">
        <f t="shared" si="34"/>
        <v>5.5240000000000003E-3</v>
      </c>
      <c r="W461" s="27">
        <f t="shared" si="34"/>
        <v>0</v>
      </c>
      <c r="X461" s="27">
        <f t="shared" si="34"/>
        <v>2.9169999999999999E-3</v>
      </c>
      <c r="Y461" s="27">
        <f t="shared" si="34"/>
        <v>-9.9299999999999996E-4</v>
      </c>
      <c r="Z461" s="27">
        <f t="shared" si="34"/>
        <v>2.5500000000000002E-4</v>
      </c>
      <c r="AA461" s="27">
        <f t="shared" si="34"/>
        <v>-4.08E-4</v>
      </c>
      <c r="AB461" s="19">
        <f>SUM(U461:Z461)</f>
        <v>8.3159999999999987E-3</v>
      </c>
    </row>
    <row r="462" spans="1:29" x14ac:dyDescent="0.2">
      <c r="A462" s="1"/>
      <c r="B462" s="126">
        <v>-1</v>
      </c>
      <c r="C462" s="73">
        <v>50</v>
      </c>
      <c r="D462" s="70"/>
      <c r="F462" s="70"/>
      <c r="G462" s="70"/>
      <c r="H462" s="70"/>
      <c r="I462" s="70"/>
      <c r="J462" s="70"/>
      <c r="K462" s="70"/>
      <c r="M462" s="73">
        <v>500</v>
      </c>
      <c r="N462" s="73"/>
      <c r="O462" s="70"/>
      <c r="P462" s="70"/>
      <c r="Q462" s="70"/>
      <c r="R462" s="12" t="s">
        <v>195</v>
      </c>
    </row>
    <row r="463" spans="1:29" x14ac:dyDescent="0.2">
      <c r="B463" s="126">
        <v>-1</v>
      </c>
      <c r="D463" s="12" t="s">
        <v>196</v>
      </c>
      <c r="F463" s="12"/>
      <c r="J463" s="12" t="s">
        <v>137</v>
      </c>
      <c r="K463" s="12" t="s">
        <v>197</v>
      </c>
      <c r="N463" s="130" t="s">
        <v>138</v>
      </c>
      <c r="O463" s="15" t="s">
        <v>30</v>
      </c>
      <c r="P463" s="15"/>
      <c r="Q463" s="143" t="s">
        <v>173</v>
      </c>
      <c r="R463" s="12" t="s">
        <v>196</v>
      </c>
      <c r="S463" s="12">
        <v>21</v>
      </c>
      <c r="T463" s="12">
        <v>6</v>
      </c>
      <c r="U463" s="12">
        <v>3</v>
      </c>
      <c r="V463" s="12">
        <v>22</v>
      </c>
      <c r="W463" s="12">
        <v>13</v>
      </c>
      <c r="X463" s="12">
        <v>20</v>
      </c>
      <c r="Y463" s="12">
        <v>24</v>
      </c>
      <c r="Z463" s="12">
        <v>25</v>
      </c>
      <c r="AA463" s="12">
        <v>26</v>
      </c>
    </row>
    <row r="464" spans="1:29" x14ac:dyDescent="0.2">
      <c r="A464" s="13"/>
      <c r="B464" s="126">
        <v>-1</v>
      </c>
      <c r="C464" s="14" t="s">
        <v>192</v>
      </c>
      <c r="D464" s="13" t="s">
        <v>198</v>
      </c>
      <c r="E464" s="130" t="s">
        <v>199</v>
      </c>
      <c r="F464" s="13" t="s">
        <v>141</v>
      </c>
      <c r="G464" s="13" t="s">
        <v>142</v>
      </c>
      <c r="H464" s="13" t="s">
        <v>143</v>
      </c>
      <c r="I464" s="12"/>
      <c r="J464" s="13" t="s">
        <v>144</v>
      </c>
      <c r="K464" s="13" t="s">
        <v>144</v>
      </c>
      <c r="O464" s="13" t="s">
        <v>200</v>
      </c>
      <c r="P464" s="13" t="s">
        <v>146</v>
      </c>
      <c r="Q464" s="13"/>
      <c r="R464" s="13" t="s">
        <v>201</v>
      </c>
      <c r="S464" s="13" t="s">
        <v>106</v>
      </c>
      <c r="T464" s="13" t="s">
        <v>36</v>
      </c>
      <c r="U464" s="139" t="s">
        <v>38</v>
      </c>
      <c r="V464" s="13" t="s">
        <v>107</v>
      </c>
      <c r="W464" s="13" t="s">
        <v>108</v>
      </c>
      <c r="X464" s="13" t="s">
        <v>109</v>
      </c>
      <c r="Y464" s="139" t="s">
        <v>44</v>
      </c>
      <c r="Z464" s="139" t="s">
        <v>46</v>
      </c>
      <c r="AA464" s="139" t="s">
        <v>48</v>
      </c>
      <c r="AB464" s="66" t="s">
        <v>110</v>
      </c>
    </row>
    <row r="465" spans="1:29" x14ac:dyDescent="0.2">
      <c r="B465" s="126">
        <v>-1</v>
      </c>
      <c r="C465" s="34"/>
      <c r="D465" s="18"/>
      <c r="F465" s="36"/>
      <c r="G465" s="12"/>
      <c r="H465" s="12"/>
      <c r="I465" s="12"/>
      <c r="J465" s="12"/>
      <c r="K465" s="12"/>
      <c r="O465" s="12"/>
      <c r="P465" s="12"/>
      <c r="Q465" s="12"/>
      <c r="R465" s="38" t="e">
        <f>INDEX('Pwr Factor'!$A$1:$B$52,MATCH((D466),'Pwr Factor'!$A$1:$A$52,0),2)</f>
        <v>#N/A</v>
      </c>
      <c r="S465" s="50">
        <v>1</v>
      </c>
      <c r="T465" s="12"/>
      <c r="U465" s="12"/>
      <c r="V465" s="12"/>
      <c r="W465" s="12"/>
      <c r="X465" s="12"/>
      <c r="Y465" s="12"/>
      <c r="Z465" s="12"/>
      <c r="AA465" s="12"/>
    </row>
    <row r="466" spans="1:29" x14ac:dyDescent="0.2">
      <c r="A466" s="1" t="s">
        <v>148</v>
      </c>
      <c r="B466" s="103">
        <f>IF(AND('AES Indiana Bill Calc.'!$D$17="SL",'AES Indiana Bill Calc.'!$D$18="Yes 100%",'AES Indiana Bill Calc.'!$D$20="No"),'AES Indiana Bill Calc.'!$D$19,-1)</f>
        <v>-1</v>
      </c>
      <c r="C466" s="103">
        <f>MAX(E466,$C$462)</f>
        <v>50</v>
      </c>
      <c r="D466" s="103" t="b">
        <f>IF(AND('AES Indiana Bill Calc.'!$D$17="SL",'AES Indiana Bill Calc.'!$D$18="Yes 100%",'AES Indiana Bill Calc.'!$D$20="No"),'AES Indiana Bill Calc.'!$D$22)</f>
        <v>0</v>
      </c>
      <c r="E466" s="103" t="b">
        <f>IF(AND('AES Indiana Bill Calc.'!$D$17="SL",'AES Indiana Bill Calc.'!$D$18="Yes 100%",'AES Indiana Bill Calc.'!$D$20="No"),'AES Indiana Bill Calc.'!$D$21)</f>
        <v>0</v>
      </c>
      <c r="F466" s="36" t="s">
        <v>61</v>
      </c>
      <c r="G466" s="17" t="e">
        <f>SUM(J466:M466,O466:P466,R466:AA466)</f>
        <v>#N/A</v>
      </c>
      <c r="H466" s="19" t="e">
        <f>IF(ISBLANK(B466),0,+#REF!/B466)</f>
        <v>#REF!</v>
      </c>
      <c r="I466" s="19"/>
      <c r="J466" s="16">
        <f>IF(ISBLANK(B466),0,+J$461)</f>
        <v>120</v>
      </c>
      <c r="K466" s="17">
        <f>ROUND($B466*K$461,2)</f>
        <v>-0.04</v>
      </c>
      <c r="N466" s="18">
        <f>K466</f>
        <v>-0.04</v>
      </c>
      <c r="O466" s="17">
        <f>IF($C466&gt;M$462,ROUND(M$462*M$461,2),ROUND($C466*M$461,2))</f>
        <v>1237</v>
      </c>
      <c r="P466" s="17">
        <f>IF($C466&gt;M$462,ROUND(($C466-M$462)*O$461,2),0)</f>
        <v>0</v>
      </c>
      <c r="Q466" s="17">
        <f>SUM(O466:P466)</f>
        <v>1237</v>
      </c>
      <c r="R466" s="16" t="e">
        <f>ROUND(SUM(N466:P466)*(R465-1),2)</f>
        <v>#N/A</v>
      </c>
      <c r="S466" s="17">
        <f>ROUND($B466*S$461*S465,2)</f>
        <v>0</v>
      </c>
      <c r="T466" s="17">
        <f t="shared" ref="T466:AA474" si="35">ROUND($B466*T$461,2)</f>
        <v>0</v>
      </c>
      <c r="U466" s="17">
        <f t="shared" si="35"/>
        <v>0</v>
      </c>
      <c r="V466" s="17">
        <f t="shared" si="35"/>
        <v>-0.01</v>
      </c>
      <c r="W466" s="17">
        <f t="shared" si="35"/>
        <v>0</v>
      </c>
      <c r="X466" s="17">
        <f t="shared" si="35"/>
        <v>0</v>
      </c>
      <c r="Y466" s="17">
        <f t="shared" si="35"/>
        <v>0</v>
      </c>
      <c r="Z466" s="17">
        <f t="shared" si="35"/>
        <v>0</v>
      </c>
      <c r="AA466" s="17">
        <f t="shared" si="35"/>
        <v>0</v>
      </c>
      <c r="AB466" s="19">
        <f>SUM(U461:AA461)</f>
        <v>7.9079999999999984E-3</v>
      </c>
      <c r="AC466" s="67" t="str">
        <f>+F466</f>
        <v>SL</v>
      </c>
    </row>
    <row r="467" spans="1:29" x14ac:dyDescent="0.2">
      <c r="A467" s="9"/>
      <c r="B467" s="126">
        <v>-1</v>
      </c>
      <c r="D467" s="18"/>
      <c r="E467" s="34"/>
      <c r="F467" s="36"/>
      <c r="G467" s="12"/>
      <c r="H467" s="12"/>
      <c r="I467" s="12"/>
      <c r="J467" s="12"/>
      <c r="K467" s="12"/>
      <c r="O467" s="12"/>
      <c r="P467" s="12"/>
      <c r="Q467" s="12"/>
      <c r="R467" s="38" t="e">
        <f>INDEX('Pwr Factor'!$A$1:$B$52,MATCH((D468),'Pwr Factor'!$A$1:$A$52,0),2)</f>
        <v>#N/A</v>
      </c>
      <c r="S467" s="50">
        <v>0.5</v>
      </c>
      <c r="T467" s="12"/>
      <c r="U467" s="12"/>
      <c r="V467" s="12"/>
      <c r="W467" s="12"/>
      <c r="X467" s="12"/>
      <c r="Y467" s="12"/>
      <c r="Z467" s="12"/>
      <c r="AA467" s="12"/>
    </row>
    <row r="468" spans="1:29" x14ac:dyDescent="0.2">
      <c r="A468" s="1" t="s">
        <v>149</v>
      </c>
      <c r="B468" s="103">
        <f>IF(AND('AES Indiana Bill Calc.'!$D$17="SL",'AES Indiana Bill Calc.'!$D$18="Yes 50%",'AES Indiana Bill Calc.'!$D$20="No"),'AES Indiana Bill Calc.'!$D$19,-1)</f>
        <v>-1</v>
      </c>
      <c r="C468" s="103">
        <f>MAX(E468,$C$462)</f>
        <v>50</v>
      </c>
      <c r="D468" s="103" t="b">
        <f>IF(AND('AES Indiana Bill Calc.'!$D$17="SL",'AES Indiana Bill Calc.'!$D$18="Yes 50%",'AES Indiana Bill Calc.'!$D$20="No"),'AES Indiana Bill Calc.'!$D$22)</f>
        <v>0</v>
      </c>
      <c r="E468" s="103" t="b">
        <f>IF(AND('AES Indiana Bill Calc.'!$D$17="SL",'AES Indiana Bill Calc.'!$D$18="Yes 50%",'AES Indiana Bill Calc.'!$D$20="No"),'AES Indiana Bill Calc.'!$D$21)</f>
        <v>0</v>
      </c>
      <c r="F468" s="36" t="s">
        <v>61</v>
      </c>
      <c r="G468" s="17" t="e">
        <f>SUM(J468:M468,O468:P468,R468:AA468)</f>
        <v>#N/A</v>
      </c>
      <c r="H468" s="19" t="e">
        <f>IF(ISBLANK(B468),0,+#REF!/B468)</f>
        <v>#REF!</v>
      </c>
      <c r="I468" s="19"/>
      <c r="J468" s="16">
        <f>IF(ISBLANK(B468),0,+J$461)</f>
        <v>120</v>
      </c>
      <c r="K468" s="17">
        <f>ROUND($B468*K$461,2)</f>
        <v>-0.04</v>
      </c>
      <c r="N468" s="18">
        <f>K468</f>
        <v>-0.04</v>
      </c>
      <c r="O468" s="17">
        <f>IF($C468&gt;M$462,ROUND(M$462*M$461,2),ROUND($C468*M$461,2))</f>
        <v>1237</v>
      </c>
      <c r="P468" s="17">
        <f>IF($C468&gt;M$462,ROUND(($C468-M$462)*O$461,2),0)</f>
        <v>0</v>
      </c>
      <c r="Q468" s="17">
        <f>SUM(O468:P468)</f>
        <v>1237</v>
      </c>
      <c r="R468" s="16" t="e">
        <f>ROUND(SUM(N468:P468)*(R467-1),2)</f>
        <v>#N/A</v>
      </c>
      <c r="S468" s="17">
        <f>ROUND($B468*S$461*S467,2)</f>
        <v>0</v>
      </c>
      <c r="T468" s="17">
        <f t="shared" si="35"/>
        <v>0</v>
      </c>
      <c r="U468" s="17">
        <f t="shared" si="35"/>
        <v>0</v>
      </c>
      <c r="V468" s="17">
        <f t="shared" si="35"/>
        <v>-0.01</v>
      </c>
      <c r="W468" s="17">
        <f t="shared" si="35"/>
        <v>0</v>
      </c>
      <c r="X468" s="17">
        <f t="shared" si="35"/>
        <v>0</v>
      </c>
      <c r="Y468" s="17">
        <f t="shared" si="35"/>
        <v>0</v>
      </c>
      <c r="Z468" s="17">
        <f t="shared" si="35"/>
        <v>0</v>
      </c>
      <c r="AA468" s="17">
        <f t="shared" si="35"/>
        <v>0</v>
      </c>
      <c r="AB468" s="19">
        <f>SUM(U463:AA463)</f>
        <v>133</v>
      </c>
      <c r="AC468" s="67" t="str">
        <f>+F468</f>
        <v>SL</v>
      </c>
    </row>
    <row r="469" spans="1:29" x14ac:dyDescent="0.2">
      <c r="A469" s="9"/>
      <c r="B469" s="126">
        <v>-1</v>
      </c>
      <c r="D469" s="18"/>
      <c r="E469" s="34"/>
      <c r="F469" s="36"/>
      <c r="G469" s="12"/>
      <c r="H469" s="12"/>
      <c r="I469" s="12"/>
      <c r="J469" s="12"/>
      <c r="K469" s="12"/>
      <c r="O469" s="12"/>
      <c r="P469" s="12"/>
      <c r="Q469" s="12"/>
      <c r="R469" s="38" t="e">
        <f>INDEX('Pwr Factor'!$A$1:$B$52,MATCH((D470),'Pwr Factor'!$A$1:$A$52,0),2)</f>
        <v>#N/A</v>
      </c>
      <c r="S469" s="50">
        <v>0.25</v>
      </c>
      <c r="T469" s="12"/>
      <c r="U469" s="12"/>
      <c r="V469" s="12"/>
      <c r="W469" s="12"/>
      <c r="X469" s="12"/>
      <c r="Y469" s="12"/>
      <c r="Z469" s="12"/>
      <c r="AA469" s="12"/>
    </row>
    <row r="470" spans="1:29" x14ac:dyDescent="0.2">
      <c r="A470" s="1" t="s">
        <v>150</v>
      </c>
      <c r="B470" s="103">
        <f>IF(AND('AES Indiana Bill Calc.'!$D$17="SL",'AES Indiana Bill Calc.'!$D$18="Yes 25%",'AES Indiana Bill Calc.'!$D$20="No"),'AES Indiana Bill Calc.'!$D$19,-1)</f>
        <v>-1</v>
      </c>
      <c r="C470" s="103">
        <f>MAX(E470,$C$462)</f>
        <v>50</v>
      </c>
      <c r="D470" s="103" t="b">
        <f>IF(AND('AES Indiana Bill Calc.'!$D$17="SL",'AES Indiana Bill Calc.'!$D$18="Yes 25%",'AES Indiana Bill Calc.'!$D$20="No"),'AES Indiana Bill Calc.'!$D$22)</f>
        <v>0</v>
      </c>
      <c r="E470" s="103" t="b">
        <f>IF(AND('AES Indiana Bill Calc.'!$D$17="SL",'AES Indiana Bill Calc.'!$D$18="Yes 25%",'AES Indiana Bill Calc.'!$D$20="No"),'AES Indiana Bill Calc.'!$D$21)</f>
        <v>0</v>
      </c>
      <c r="F470" s="36" t="s">
        <v>61</v>
      </c>
      <c r="G470" s="17" t="e">
        <f>SUM(J470:M470,O470:P470,R470:AA470)</f>
        <v>#N/A</v>
      </c>
      <c r="H470" s="19" t="e">
        <f>IF(ISBLANK(B470),0,+#REF!/B470)</f>
        <v>#REF!</v>
      </c>
      <c r="I470" s="19"/>
      <c r="J470" s="16">
        <f>IF(ISBLANK(B470),0,+J$461)</f>
        <v>120</v>
      </c>
      <c r="K470" s="17">
        <f>ROUND($B470*K$461,2)</f>
        <v>-0.04</v>
      </c>
      <c r="N470" s="18">
        <f>K470</f>
        <v>-0.04</v>
      </c>
      <c r="O470" s="17">
        <f>IF($C470&gt;M$462,ROUND(M$462*M$461,2),ROUND($C470*M$461,2))</f>
        <v>1237</v>
      </c>
      <c r="P470" s="17">
        <f>IF($C470&gt;M$462,ROUND(($C470-M$462)*O$461,2),0)</f>
        <v>0</v>
      </c>
      <c r="Q470" s="17">
        <f>SUM(O470:P470)</f>
        <v>1237</v>
      </c>
      <c r="R470" s="16" t="e">
        <f>ROUND(SUM(N470:P470)*(R469-1),2)</f>
        <v>#N/A</v>
      </c>
      <c r="S470" s="17">
        <f>ROUND($B470*S$461*S469,2)</f>
        <v>0</v>
      </c>
      <c r="T470" s="17">
        <f t="shared" si="35"/>
        <v>0</v>
      </c>
      <c r="U470" s="17">
        <f t="shared" si="35"/>
        <v>0</v>
      </c>
      <c r="V470" s="17">
        <f t="shared" si="35"/>
        <v>-0.01</v>
      </c>
      <c r="W470" s="17">
        <f t="shared" si="35"/>
        <v>0</v>
      </c>
      <c r="X470" s="17">
        <f t="shared" si="35"/>
        <v>0</v>
      </c>
      <c r="Y470" s="17">
        <f t="shared" si="35"/>
        <v>0</v>
      </c>
      <c r="Z470" s="17">
        <f t="shared" si="35"/>
        <v>0</v>
      </c>
      <c r="AA470" s="17">
        <f t="shared" si="35"/>
        <v>0</v>
      </c>
      <c r="AB470" s="19">
        <f>SUM(U465:AA465)</f>
        <v>0</v>
      </c>
      <c r="AC470" s="67" t="str">
        <f>+F470</f>
        <v>SL</v>
      </c>
    </row>
    <row r="471" spans="1:29" x14ac:dyDescent="0.2">
      <c r="A471" s="9"/>
      <c r="B471" s="103">
        <v>-1</v>
      </c>
      <c r="D471" s="18"/>
      <c r="E471" s="34"/>
      <c r="F471" s="36"/>
      <c r="G471" s="12"/>
      <c r="H471" s="12"/>
      <c r="I471" s="12"/>
      <c r="J471" s="12"/>
      <c r="K471" s="12"/>
      <c r="O471" s="12"/>
      <c r="P471" s="12"/>
      <c r="Q471" s="12"/>
      <c r="R471" s="38" t="e">
        <f>INDEX('Pwr Factor'!$A$1:$B$52,MATCH((D472),'Pwr Factor'!$A$1:$A$52,0),2)</f>
        <v>#N/A</v>
      </c>
      <c r="S471" s="50">
        <v>0.1</v>
      </c>
      <c r="T471" s="12"/>
      <c r="U471" s="12"/>
      <c r="V471" s="12"/>
      <c r="W471" s="12"/>
      <c r="X471" s="12"/>
      <c r="Y471" s="12"/>
      <c r="Z471" s="12"/>
      <c r="AA471" s="12"/>
    </row>
    <row r="472" spans="1:29" x14ac:dyDescent="0.2">
      <c r="A472" s="1" t="s">
        <v>164</v>
      </c>
      <c r="B472" s="103">
        <f>IF(AND('AES Indiana Bill Calc.'!$D$17="SL",'AES Indiana Bill Calc.'!$D$18="Yes 10%",'AES Indiana Bill Calc.'!$D$20="No"),'AES Indiana Bill Calc.'!$D$19,-1)</f>
        <v>-1</v>
      </c>
      <c r="C472" s="103">
        <f>MAX(E472,$C$462)</f>
        <v>50</v>
      </c>
      <c r="D472" s="103" t="b">
        <f>IF(AND('AES Indiana Bill Calc.'!$D$17="SL",'AES Indiana Bill Calc.'!$D$18="Yes 10%",'AES Indiana Bill Calc.'!$D$20="No"),'AES Indiana Bill Calc.'!$D$22)</f>
        <v>0</v>
      </c>
      <c r="E472" s="103" t="b">
        <f>IF(AND('AES Indiana Bill Calc.'!$D$17="SL",'AES Indiana Bill Calc.'!$D$18="Yes 10%",'AES Indiana Bill Calc.'!$D$20="No"),'AES Indiana Bill Calc.'!$D$21)</f>
        <v>0</v>
      </c>
      <c r="F472" s="36" t="s">
        <v>61</v>
      </c>
      <c r="G472" s="17" t="e">
        <f>SUM(J472:M472,O472:P472,R472:AA472)</f>
        <v>#N/A</v>
      </c>
      <c r="H472" s="19" t="e">
        <f>IF(ISBLANK(B472),0,+#REF!/B472)</f>
        <v>#REF!</v>
      </c>
      <c r="I472" s="19"/>
      <c r="J472" s="16">
        <f>IF(ISBLANK(B472),0,+J$461)</f>
        <v>120</v>
      </c>
      <c r="K472" s="17">
        <f>ROUND($B472*K$461,2)</f>
        <v>-0.04</v>
      </c>
      <c r="N472" s="18">
        <f>K472</f>
        <v>-0.04</v>
      </c>
      <c r="O472" s="17">
        <f>IF($C472&gt;M$462,ROUND(M$462*M$461,2),ROUND($C472*M$461,2))</f>
        <v>1237</v>
      </c>
      <c r="P472" s="17">
        <f>IF($C472&gt;M$462,ROUND(($C472-M$462)*O$461,2),0)</f>
        <v>0</v>
      </c>
      <c r="Q472" s="17">
        <f>SUM(O472:P472)</f>
        <v>1237</v>
      </c>
      <c r="R472" s="16" t="e">
        <f>ROUND(SUM(N472:P472)*(R471-1),2)</f>
        <v>#N/A</v>
      </c>
      <c r="S472" s="17">
        <f>ROUND($B472*S$461*S471,2)</f>
        <v>0</v>
      </c>
      <c r="T472" s="17">
        <f t="shared" si="35"/>
        <v>0</v>
      </c>
      <c r="U472" s="17">
        <f t="shared" si="35"/>
        <v>0</v>
      </c>
      <c r="V472" s="17">
        <f t="shared" si="35"/>
        <v>-0.01</v>
      </c>
      <c r="W472" s="17">
        <f t="shared" si="35"/>
        <v>0</v>
      </c>
      <c r="X472" s="17">
        <f t="shared" si="35"/>
        <v>0</v>
      </c>
      <c r="Y472" s="17">
        <f t="shared" si="35"/>
        <v>0</v>
      </c>
      <c r="Z472" s="17">
        <f t="shared" si="35"/>
        <v>0</v>
      </c>
      <c r="AA472" s="17">
        <f t="shared" si="35"/>
        <v>0</v>
      </c>
      <c r="AB472" s="19">
        <f>SUM(U467:AA467)</f>
        <v>0</v>
      </c>
      <c r="AC472" s="67" t="str">
        <f>+F472</f>
        <v>SL</v>
      </c>
    </row>
    <row r="473" spans="1:29" x14ac:dyDescent="0.2">
      <c r="A473" s="9"/>
      <c r="B473" s="103">
        <v>-1</v>
      </c>
      <c r="D473" s="18"/>
      <c r="E473" s="34"/>
      <c r="F473" s="36"/>
      <c r="G473" s="12"/>
      <c r="H473" s="12"/>
      <c r="I473" s="12"/>
      <c r="J473" s="12"/>
      <c r="K473" s="12"/>
      <c r="O473" s="12"/>
      <c r="P473" s="12"/>
      <c r="Q473" s="12"/>
      <c r="R473" s="38" t="e">
        <f>INDEX('Pwr Factor'!$A$1:$B$52,MATCH((D474),'Pwr Factor'!$A$1:$A$52,0),2)</f>
        <v>#N/A</v>
      </c>
      <c r="S473" s="50">
        <v>0</v>
      </c>
      <c r="T473" s="12"/>
      <c r="U473" s="12"/>
      <c r="V473" s="12"/>
      <c r="W473" s="12"/>
      <c r="X473" s="12"/>
      <c r="Y473" s="12"/>
      <c r="Z473" s="12"/>
      <c r="AA473" s="12"/>
    </row>
    <row r="474" spans="1:29" x14ac:dyDescent="0.2">
      <c r="A474" s="1" t="s">
        <v>147</v>
      </c>
      <c r="B474" s="103">
        <f>IF(AND('AES Indiana Bill Calc.'!$D$17="SL",'AES Indiana Bill Calc.'!$D$18="No",'AES Indiana Bill Calc.'!$D$20="No"),'AES Indiana Bill Calc.'!$D$19,-1)</f>
        <v>-1</v>
      </c>
      <c r="C474" s="103">
        <f>MAX(E474,$C$462)</f>
        <v>50</v>
      </c>
      <c r="D474" s="103" t="b">
        <f>IF(AND('AES Indiana Bill Calc.'!$D$17="SL",'AES Indiana Bill Calc.'!$D$18="No",'AES Indiana Bill Calc.'!$D$20="No"),'AES Indiana Bill Calc.'!$D$22)</f>
        <v>0</v>
      </c>
      <c r="E474" s="103" t="b">
        <f>IF(AND('AES Indiana Bill Calc.'!$D$17="SL",'AES Indiana Bill Calc.'!$D$18="No",'AES Indiana Bill Calc.'!$D$20="No"),'AES Indiana Bill Calc.'!$D$21)</f>
        <v>0</v>
      </c>
      <c r="F474" s="36" t="s">
        <v>61</v>
      </c>
      <c r="G474" s="17" t="e">
        <f>SUM(J474:M474,O474:P474,R474:AA474)</f>
        <v>#N/A</v>
      </c>
      <c r="H474" s="19" t="e">
        <f>IF(ISBLANK(B474),0,+#REF!/B474)</f>
        <v>#REF!</v>
      </c>
      <c r="I474" s="19"/>
      <c r="J474" s="16">
        <f>IF(ISBLANK(B474),0,+J$461)</f>
        <v>120</v>
      </c>
      <c r="K474" s="17">
        <f>ROUND($B474*K$461,2)</f>
        <v>-0.04</v>
      </c>
      <c r="N474" s="18">
        <f>K474</f>
        <v>-0.04</v>
      </c>
      <c r="O474" s="17">
        <f>IF($C474&gt;M$462,ROUND(M$462*M$461,2),ROUND($C474*M$461,2))</f>
        <v>1237</v>
      </c>
      <c r="P474" s="17">
        <f>IF($C474&gt;M$462,ROUND(($C474-M$462)*O$461,2),0)</f>
        <v>0</v>
      </c>
      <c r="Q474" s="17">
        <f>SUM(O474:P474)</f>
        <v>1237</v>
      </c>
      <c r="R474" s="16" t="e">
        <f>ROUND(SUM(N474:P474)*(R473-1),2)</f>
        <v>#N/A</v>
      </c>
      <c r="S474" s="17">
        <f>ROUND($B474*S$461*S473,2)</f>
        <v>0</v>
      </c>
      <c r="T474" s="17">
        <f t="shared" si="35"/>
        <v>0</v>
      </c>
      <c r="U474" s="17">
        <f t="shared" si="35"/>
        <v>0</v>
      </c>
      <c r="V474" s="17">
        <f>ROUND($B474*V$461,2)</f>
        <v>-0.01</v>
      </c>
      <c r="W474" s="17">
        <f t="shared" si="35"/>
        <v>0</v>
      </c>
      <c r="X474" s="17">
        <f t="shared" si="35"/>
        <v>0</v>
      </c>
      <c r="Y474" s="17">
        <f t="shared" si="35"/>
        <v>0</v>
      </c>
      <c r="Z474" s="17">
        <f t="shared" si="35"/>
        <v>0</v>
      </c>
      <c r="AA474" s="17">
        <f t="shared" si="35"/>
        <v>0</v>
      </c>
      <c r="AB474" s="19">
        <f>SUM(U469:AA469)</f>
        <v>0</v>
      </c>
      <c r="AC474" s="67" t="str">
        <f>+F474</f>
        <v>SL</v>
      </c>
    </row>
    <row r="475" spans="1:29" x14ac:dyDescent="0.2">
      <c r="B475" s="103">
        <v>-1</v>
      </c>
      <c r="D475" s="8"/>
      <c r="E475" s="9"/>
      <c r="F475" s="36"/>
      <c r="G475" s="17"/>
      <c r="H475" s="19"/>
      <c r="I475" s="19"/>
      <c r="J475" s="16"/>
      <c r="K475" s="17"/>
      <c r="O475" s="17"/>
      <c r="P475" s="17"/>
      <c r="Q475" s="17"/>
      <c r="R475" s="38" t="e">
        <f>VLOOKUP((D476),'Pwr Factor'!$A$1:$B$52,2)</f>
        <v>#N/A</v>
      </c>
      <c r="S475" s="50">
        <v>1</v>
      </c>
      <c r="T475" s="17"/>
      <c r="U475" s="17"/>
      <c r="V475" s="8"/>
      <c r="W475" s="17"/>
      <c r="X475" s="17"/>
      <c r="Y475" s="17"/>
      <c r="Z475" s="17"/>
      <c r="AA475" s="17"/>
      <c r="AB475" s="19"/>
      <c r="AC475" s="67"/>
    </row>
    <row r="476" spans="1:29" x14ac:dyDescent="0.2">
      <c r="A476" s="1" t="s">
        <v>148</v>
      </c>
      <c r="B476" s="103">
        <f>IF(AND('AES Indiana Bill Calc.'!$D$17="SL",'AES Indiana Bill Calc.'!$D$18="Yes 100%",'AES Indiana Bill Calc.'!$D$20="Yes Before 2018"),'AES Indiana Bill Calc.'!$D$19,-1)</f>
        <v>-1</v>
      </c>
      <c r="C476" s="103">
        <f>MAX(E476,$C$462)</f>
        <v>50</v>
      </c>
      <c r="D476" s="103" t="b">
        <f>IF(AND('AES Indiana Bill Calc.'!$D$17="SL",'AES Indiana Bill Calc.'!$D$18="Yes 100%",'AES Indiana Bill Calc.'!$D$20="Yes Before 2018"),'AES Indiana Bill Calc.'!$D$22)</f>
        <v>0</v>
      </c>
      <c r="E476" s="103" t="b">
        <f>IF(AND('AES Indiana Bill Calc.'!$D$17="SL",'AES Indiana Bill Calc.'!$D$18="Yes 100%",'AES Indiana Bill Calc.'!$D$20="Yes Before 2018"),'AES Indiana Bill Calc.'!$D$21)</f>
        <v>0</v>
      </c>
      <c r="F476" s="36" t="s">
        <v>202</v>
      </c>
      <c r="G476" s="17" t="e">
        <f>SUM(J476:M476,O476:P476,R476:AA476)</f>
        <v>#N/A</v>
      </c>
      <c r="H476" s="19" t="e">
        <f>IF(ISBLANK(B476),0,+#REF!/B476)</f>
        <v>#REF!</v>
      </c>
      <c r="J476" s="82">
        <f>IF(ISBLANK(B476),0,+J$461)</f>
        <v>120</v>
      </c>
      <c r="K476" s="42">
        <f>ROUND($B476*K$461,2)</f>
        <v>-0.04</v>
      </c>
      <c r="N476" s="18">
        <f>K476</f>
        <v>-0.04</v>
      </c>
      <c r="O476" s="17">
        <f>IF($C476&gt;M$462,ROUND(M$462*M$461,2),ROUND($C476*M$461,2))</f>
        <v>1237</v>
      </c>
      <c r="P476" s="17">
        <f>IF($C476&gt;M$462,ROUND(($C476-M$462)*O$461,2),0)</f>
        <v>0</v>
      </c>
      <c r="Q476" s="17">
        <f>SUM(O476:P476)</f>
        <v>1237</v>
      </c>
      <c r="R476" s="16" t="e">
        <f>ROUND(SUM(N476:P476)*(R475-1),2)</f>
        <v>#N/A</v>
      </c>
      <c r="S476" s="42">
        <f>ROUND($B476*S$461*S475,2)</f>
        <v>0</v>
      </c>
      <c r="T476" s="42">
        <f>ROUND($B476*T$461,2)</f>
        <v>0</v>
      </c>
      <c r="U476" s="42">
        <f>ROUND($B476*U$461,2)</f>
        <v>0</v>
      </c>
      <c r="V476" s="41">
        <f>ROUND($B476*V$453,2)</f>
        <v>0</v>
      </c>
      <c r="W476" s="42">
        <f>ROUND($B476*W$461,2)</f>
        <v>0</v>
      </c>
      <c r="X476" s="42">
        <f>ROUND($B476*X$461,2)</f>
        <v>0</v>
      </c>
      <c r="Y476" s="42">
        <f>ROUND($B476*Y$461,2)</f>
        <v>0</v>
      </c>
      <c r="Z476" s="42">
        <f>ROUND($B476*Z$461,2)</f>
        <v>0</v>
      </c>
      <c r="AA476" s="42">
        <f>ROUND($B476*AA$461,2)</f>
        <v>0</v>
      </c>
      <c r="AB476" s="19">
        <f>SUM(U$461:AA$461)+(-V$461+V453)</f>
        <v>2.3839999999999981E-3</v>
      </c>
      <c r="AC476" s="94" t="str">
        <f>+F476</f>
        <v>SL7</v>
      </c>
    </row>
    <row r="477" spans="1:29" x14ac:dyDescent="0.2">
      <c r="A477" s="9"/>
      <c r="B477" s="103">
        <v>-1</v>
      </c>
      <c r="D477" s="8"/>
      <c r="E477" s="9"/>
      <c r="F477" s="36"/>
      <c r="G477" s="17"/>
      <c r="H477" s="19"/>
      <c r="I477" s="19"/>
      <c r="J477" s="16"/>
      <c r="K477" s="17"/>
      <c r="O477" s="17"/>
      <c r="P477" s="17"/>
      <c r="Q477" s="17"/>
      <c r="R477" s="38" t="e">
        <f>VLOOKUP((D478),'Pwr Factor'!$A$1:$B$52,2)</f>
        <v>#N/A</v>
      </c>
      <c r="S477" s="50">
        <v>0.5</v>
      </c>
      <c r="T477" s="17"/>
      <c r="U477" s="17"/>
      <c r="V477" s="8"/>
      <c r="W477" s="17"/>
      <c r="X477" s="17"/>
      <c r="Y477" s="17"/>
      <c r="Z477" s="17"/>
      <c r="AA477" s="17"/>
      <c r="AB477" s="19"/>
      <c r="AC477" s="67"/>
    </row>
    <row r="478" spans="1:29" x14ac:dyDescent="0.2">
      <c r="A478" s="1" t="s">
        <v>149</v>
      </c>
      <c r="B478" s="103">
        <f>IF(AND('AES Indiana Bill Calc.'!$D$17="SL",'AES Indiana Bill Calc.'!$D$18="Yes 50%",'AES Indiana Bill Calc.'!$D$20="Yes Before 2018"),'AES Indiana Bill Calc.'!$D$19,-1)</f>
        <v>-1</v>
      </c>
      <c r="C478" s="103">
        <f>MAX(E478,$C$462)</f>
        <v>50</v>
      </c>
      <c r="D478" s="103" t="b">
        <f>IF(AND('AES Indiana Bill Calc.'!$D$17="SL",'AES Indiana Bill Calc.'!$D$18="Yes 50%",'AES Indiana Bill Calc.'!$D$20="Yes Before 2018"),'AES Indiana Bill Calc.'!$D$22)</f>
        <v>0</v>
      </c>
      <c r="E478" s="103" t="b">
        <f>IF(AND('AES Indiana Bill Calc.'!$D$17="SL",'AES Indiana Bill Calc.'!$D$18="Yes 50%",'AES Indiana Bill Calc.'!$D$20="Yes Before 2018"),'AES Indiana Bill Calc.'!$D$21)</f>
        <v>0</v>
      </c>
      <c r="F478" s="36" t="s">
        <v>202</v>
      </c>
      <c r="G478" s="17" t="e">
        <f>SUM(J478:M478,O478:P478,R478:AA478)</f>
        <v>#N/A</v>
      </c>
      <c r="H478" s="19" t="e">
        <f>IF(ISBLANK(B478),0,+#REF!/B478)</f>
        <v>#REF!</v>
      </c>
      <c r="J478" s="82">
        <f>IF(ISBLANK(B478),0,+J$461)</f>
        <v>120</v>
      </c>
      <c r="K478" s="42">
        <f>ROUND($B478*K$461,2)</f>
        <v>-0.04</v>
      </c>
      <c r="N478" s="18">
        <f>K478</f>
        <v>-0.04</v>
      </c>
      <c r="O478" s="17">
        <f>IF($C478&gt;M$462,ROUND(M$462*M$461,2),ROUND($C478*M$461,2))</f>
        <v>1237</v>
      </c>
      <c r="P478" s="17">
        <f>IF($C478&gt;M$462,ROUND(($C478-M$462)*O$461,2),0)</f>
        <v>0</v>
      </c>
      <c r="Q478" s="17">
        <f>SUM(O478:P478)</f>
        <v>1237</v>
      </c>
      <c r="R478" s="16" t="e">
        <f>ROUND(SUM(N478:P478)*(R477-1),2)</f>
        <v>#N/A</v>
      </c>
      <c r="S478" s="42">
        <f>ROUND($B478*S$461*S477,2)</f>
        <v>0</v>
      </c>
      <c r="T478" s="42">
        <f>ROUND($B478*T$461,2)</f>
        <v>0</v>
      </c>
      <c r="U478" s="42">
        <f>ROUND($B478*U$461,2)</f>
        <v>0</v>
      </c>
      <c r="V478" s="41">
        <f>ROUND($B478*V$453,2)</f>
        <v>0</v>
      </c>
      <c r="W478" s="42">
        <f>ROUND($B478*W$461,2)</f>
        <v>0</v>
      </c>
      <c r="X478" s="42">
        <f>ROUND($B478*X$461,2)</f>
        <v>0</v>
      </c>
      <c r="Y478" s="42">
        <f>ROUND($B478*Y$461,2)</f>
        <v>0</v>
      </c>
      <c r="Z478" s="42">
        <f>ROUND($B478*Z$461,2)</f>
        <v>0</v>
      </c>
      <c r="AA478" s="42">
        <f>ROUND($B478*AA$461,2)</f>
        <v>0</v>
      </c>
      <c r="AB478" s="19">
        <f>SUM(U$461:AA$461)+(-V$461+V455)</f>
        <v>2.4989999999999978E-3</v>
      </c>
      <c r="AC478" s="94" t="str">
        <f>+F478</f>
        <v>SL7</v>
      </c>
    </row>
    <row r="479" spans="1:29" x14ac:dyDescent="0.2">
      <c r="A479" s="9"/>
      <c r="B479" s="103">
        <v>-1</v>
      </c>
      <c r="D479" s="8"/>
      <c r="E479" s="9"/>
      <c r="F479" s="36"/>
      <c r="G479" s="17"/>
      <c r="H479" s="19"/>
      <c r="I479" s="19"/>
      <c r="J479" s="16"/>
      <c r="K479" s="17"/>
      <c r="O479" s="17"/>
      <c r="P479" s="17"/>
      <c r="Q479" s="17"/>
      <c r="R479" s="38" t="e">
        <f>VLOOKUP((D480),'Pwr Factor'!$A$1:$B$52,2)</f>
        <v>#N/A</v>
      </c>
      <c r="S479" s="50">
        <v>0.25</v>
      </c>
      <c r="T479" s="17"/>
      <c r="U479" s="17"/>
      <c r="V479" s="8"/>
      <c r="W479" s="17"/>
      <c r="X479" s="17"/>
      <c r="Y479" s="17"/>
      <c r="Z479" s="17"/>
      <c r="AA479" s="17"/>
      <c r="AB479" s="19"/>
      <c r="AC479" s="67"/>
    </row>
    <row r="480" spans="1:29" x14ac:dyDescent="0.2">
      <c r="A480" s="1" t="s">
        <v>150</v>
      </c>
      <c r="B480" s="103">
        <f>IF(AND('AES Indiana Bill Calc.'!$D$17="SL",'AES Indiana Bill Calc.'!$D$18="Yes 25%",'AES Indiana Bill Calc.'!$D$20="Yes Before 2018"),'AES Indiana Bill Calc.'!$D$19,-1)</f>
        <v>-1</v>
      </c>
      <c r="C480" s="103">
        <f>MAX(E480,$C$462)</f>
        <v>50</v>
      </c>
      <c r="D480" s="103" t="b">
        <f>IF(AND('AES Indiana Bill Calc.'!$D$17="SL",'AES Indiana Bill Calc.'!$D$18="Yes 25%",'AES Indiana Bill Calc.'!$D$20="Yes Before 2018"),'AES Indiana Bill Calc.'!$D$22)</f>
        <v>0</v>
      </c>
      <c r="E480" s="103" t="b">
        <f>IF(AND('AES Indiana Bill Calc.'!$D$17="SL",'AES Indiana Bill Calc.'!$D$18="Yes 25%",'AES Indiana Bill Calc.'!$D$20="Yes Before 2018"),'AES Indiana Bill Calc.'!$D$21)</f>
        <v>0</v>
      </c>
      <c r="F480" s="36" t="s">
        <v>202</v>
      </c>
      <c r="G480" s="17" t="e">
        <f>SUM(J480:M480,O480:P480,R480:AA480)</f>
        <v>#N/A</v>
      </c>
      <c r="H480" s="19" t="e">
        <f>IF(ISBLANK(B480),0,+#REF!/B480)</f>
        <v>#REF!</v>
      </c>
      <c r="J480" s="82">
        <f>IF(ISBLANK(B480),0,+J$461)</f>
        <v>120</v>
      </c>
      <c r="K480" s="42">
        <f>ROUND($B480*K$461,2)</f>
        <v>-0.04</v>
      </c>
      <c r="N480" s="18">
        <f>K480</f>
        <v>-0.04</v>
      </c>
      <c r="O480" s="17">
        <f>IF($C480&gt;M$462,ROUND(M$462*M$461,2),ROUND($C480*M$461,2))</f>
        <v>1237</v>
      </c>
      <c r="P480" s="17">
        <f>IF($C480&gt;M$462,ROUND(($C480-M$462)*O$461,2),0)</f>
        <v>0</v>
      </c>
      <c r="Q480" s="17">
        <f>SUM(O480:P480)</f>
        <v>1237</v>
      </c>
      <c r="R480" s="16" t="e">
        <f>ROUND(SUM(N480:P480)*(R479-1),2)</f>
        <v>#N/A</v>
      </c>
      <c r="S480" s="42">
        <f>ROUND($B480*S$461*S479,2)</f>
        <v>0</v>
      </c>
      <c r="T480" s="42">
        <f>ROUND($B480*T$461,2)</f>
        <v>0</v>
      </c>
      <c r="U480" s="42">
        <f>ROUND($B480*U$461,2)</f>
        <v>0</v>
      </c>
      <c r="V480" s="41">
        <f>ROUND($B480*V$453,2)</f>
        <v>0</v>
      </c>
      <c r="W480" s="42">
        <f>ROUND($B480*W$461,2)</f>
        <v>0</v>
      </c>
      <c r="X480" s="42">
        <f>ROUND($B480*X$461,2)</f>
        <v>0</v>
      </c>
      <c r="Y480" s="42">
        <f>ROUND($B480*Y$461,2)</f>
        <v>0</v>
      </c>
      <c r="Z480" s="42">
        <f>ROUND($B480*Z$461,2)</f>
        <v>0</v>
      </c>
      <c r="AA480" s="42">
        <f>ROUND($B480*AA$461,2)</f>
        <v>0</v>
      </c>
      <c r="AB480" s="19">
        <f>SUM(U$461:AA$461)+(-V$461+V457)</f>
        <v>1.5709999999999977E-3</v>
      </c>
      <c r="AC480" s="94" t="str">
        <f>+F480</f>
        <v>SL7</v>
      </c>
    </row>
    <row r="481" spans="1:29" x14ac:dyDescent="0.2">
      <c r="A481" s="9"/>
      <c r="B481" s="103">
        <v>-1</v>
      </c>
      <c r="D481" s="8"/>
      <c r="E481" s="9"/>
      <c r="F481" s="36"/>
      <c r="G481" s="17"/>
      <c r="H481" s="19"/>
      <c r="I481" s="19"/>
      <c r="J481" s="16"/>
      <c r="K481" s="17"/>
      <c r="O481" s="17"/>
      <c r="P481" s="17"/>
      <c r="Q481" s="17"/>
      <c r="R481" s="38" t="e">
        <f>VLOOKUP((D482),'Pwr Factor'!$A$1:$B$52,2)</f>
        <v>#N/A</v>
      </c>
      <c r="S481" s="50">
        <v>0.1</v>
      </c>
      <c r="T481" s="17"/>
      <c r="U481" s="17"/>
      <c r="V481" s="8"/>
      <c r="W481" s="17"/>
      <c r="X481" s="17"/>
      <c r="Y481" s="17"/>
      <c r="Z481" s="17"/>
      <c r="AA481" s="17"/>
      <c r="AB481" s="19"/>
      <c r="AC481" s="67"/>
    </row>
    <row r="482" spans="1:29" x14ac:dyDescent="0.2">
      <c r="A482" s="1" t="s">
        <v>164</v>
      </c>
      <c r="B482" s="103">
        <f>IF(AND('AES Indiana Bill Calc.'!$D$17="SL",'AES Indiana Bill Calc.'!$D$18="Yes 10%",'AES Indiana Bill Calc.'!$D$20="Yes Before 2018"),'AES Indiana Bill Calc.'!$D$19,-1)</f>
        <v>-1</v>
      </c>
      <c r="C482" s="103">
        <f>MAX(E482,$C$462)</f>
        <v>50</v>
      </c>
      <c r="D482" s="103" t="b">
        <f>IF(AND('AES Indiana Bill Calc.'!$D$17="SL",'AES Indiana Bill Calc.'!$D$18="Yes 10%",'AES Indiana Bill Calc.'!$D$20="Yes Before 2018"),'AES Indiana Bill Calc.'!$D$22)</f>
        <v>0</v>
      </c>
      <c r="E482" s="103" t="b">
        <f>IF(AND('AES Indiana Bill Calc.'!$D$17="SL",'AES Indiana Bill Calc.'!$D$18="Yes 10%",'AES Indiana Bill Calc.'!$D$20="Yes Before 2018"),'AES Indiana Bill Calc.'!$D$21)</f>
        <v>0</v>
      </c>
      <c r="F482" s="36" t="s">
        <v>202</v>
      </c>
      <c r="G482" s="17" t="e">
        <f>SUM(J482:M482,O482:P482,R482:AA482)</f>
        <v>#N/A</v>
      </c>
      <c r="H482" s="19" t="e">
        <f>IF(ISBLANK(B482),0,+#REF!/B482)</f>
        <v>#REF!</v>
      </c>
      <c r="J482" s="82">
        <f>IF(ISBLANK(B482),0,+J$461)</f>
        <v>120</v>
      </c>
      <c r="K482" s="42">
        <f>ROUND($B482*K$461,2)</f>
        <v>-0.04</v>
      </c>
      <c r="N482" s="18">
        <f>K482</f>
        <v>-0.04</v>
      </c>
      <c r="O482" s="17">
        <f>IF($C482&gt;M$462,ROUND(M$462*M$461,2),ROUND($C482*M$461,2))</f>
        <v>1237</v>
      </c>
      <c r="P482" s="17">
        <f>IF($C482&gt;M$462,ROUND(($C482-M$462)*O$461,2),0)</f>
        <v>0</v>
      </c>
      <c r="Q482" s="17">
        <f>SUM(O482:P482)</f>
        <v>1237</v>
      </c>
      <c r="R482" s="16" t="e">
        <f>ROUND(SUM(N482:P482)*(R481-1),2)</f>
        <v>#N/A</v>
      </c>
      <c r="S482" s="42">
        <f>ROUND($B482*S$461*S481,2)</f>
        <v>0</v>
      </c>
      <c r="T482" s="42">
        <f>ROUND($B482*T$461,2)</f>
        <v>0</v>
      </c>
      <c r="U482" s="42">
        <f>ROUND($B482*U$461,2)</f>
        <v>0</v>
      </c>
      <c r="V482" s="41">
        <f>ROUND($B482*V$453,2)</f>
        <v>0</v>
      </c>
      <c r="W482" s="42">
        <f>ROUND($B482*W$461,2)</f>
        <v>0</v>
      </c>
      <c r="X482" s="42">
        <f>ROUND($B482*X$461,2)</f>
        <v>0</v>
      </c>
      <c r="Y482" s="42">
        <f>ROUND($B482*Y$461,2)</f>
        <v>0</v>
      </c>
      <c r="Z482" s="42">
        <f>ROUND($B482*Z$461,2)</f>
        <v>0</v>
      </c>
      <c r="AA482" s="42">
        <f>ROUND($B482*AA$461,2)</f>
        <v>0</v>
      </c>
      <c r="AB482" s="19">
        <f>SUM(U$461:AA$461)+(-V$461+V462)</f>
        <v>2.3839999999999981E-3</v>
      </c>
      <c r="AC482" s="94" t="str">
        <f>+F482</f>
        <v>SL7</v>
      </c>
    </row>
    <row r="483" spans="1:29" x14ac:dyDescent="0.2">
      <c r="A483" s="9"/>
      <c r="B483" s="103">
        <v>-1</v>
      </c>
      <c r="D483" s="8"/>
      <c r="E483" s="9"/>
      <c r="F483" s="36"/>
      <c r="G483" s="17"/>
      <c r="H483" s="19"/>
      <c r="I483" s="19"/>
      <c r="J483" s="16"/>
      <c r="K483" s="17"/>
      <c r="O483" s="17"/>
      <c r="P483" s="17"/>
      <c r="Q483" s="17"/>
      <c r="R483" s="38" t="e">
        <f>VLOOKUP((D484),'Pwr Factor'!$A$1:$B$52,2)</f>
        <v>#N/A</v>
      </c>
      <c r="S483" s="50">
        <v>0</v>
      </c>
      <c r="T483" s="17"/>
      <c r="U483" s="17"/>
      <c r="V483" s="8"/>
      <c r="W483" s="17"/>
      <c r="X483" s="17"/>
      <c r="Y483" s="17"/>
      <c r="Z483" s="17"/>
      <c r="AA483" s="17"/>
      <c r="AB483" s="19"/>
      <c r="AC483" s="67"/>
    </row>
    <row r="484" spans="1:29" x14ac:dyDescent="0.2">
      <c r="A484" s="1" t="s">
        <v>147</v>
      </c>
      <c r="B484" s="103">
        <f>IF(AND('AES Indiana Bill Calc.'!$D$17="SL",'AES Indiana Bill Calc.'!$D$18="No",'AES Indiana Bill Calc.'!$D$20="Yes Before 2018"),'AES Indiana Bill Calc.'!$D$19,-1)</f>
        <v>-1</v>
      </c>
      <c r="C484" s="103">
        <f>MAX(E484,$C$462)</f>
        <v>50</v>
      </c>
      <c r="D484" s="103" t="b">
        <f>IF(AND('AES Indiana Bill Calc.'!$D$17="SL",'AES Indiana Bill Calc.'!$D$18="No",'AES Indiana Bill Calc.'!$D$20="Yes Before 2018"),'AES Indiana Bill Calc.'!$D$22)</f>
        <v>0</v>
      </c>
      <c r="E484" s="103" t="b">
        <f>IF(AND('AES Indiana Bill Calc.'!$D$17="SL",'AES Indiana Bill Calc.'!$D$18="No",'AES Indiana Bill Calc.'!$D$20="Yes Before 2018"),'AES Indiana Bill Calc.'!$D$21)</f>
        <v>0</v>
      </c>
      <c r="F484" s="36" t="s">
        <v>202</v>
      </c>
      <c r="G484" s="17" t="e">
        <f>SUM(J484:M484,O484:P484,R484:AA484)</f>
        <v>#N/A</v>
      </c>
      <c r="H484" s="19" t="e">
        <f>IF(ISBLANK(B484),0,+#REF!/B484)</f>
        <v>#REF!</v>
      </c>
      <c r="J484" s="82">
        <f>IF(ISBLANK(B484),0,+J$461)</f>
        <v>120</v>
      </c>
      <c r="K484" s="42">
        <f>ROUND($B484*K$461,2)</f>
        <v>-0.04</v>
      </c>
      <c r="N484" s="18">
        <f>K484</f>
        <v>-0.04</v>
      </c>
      <c r="O484" s="17">
        <f>IF($C484&gt;M$462,ROUND(M$462*M$461,2),ROUND($C484*M$461,2))</f>
        <v>1237</v>
      </c>
      <c r="P484" s="17">
        <f>IF($C484&gt;M$462,ROUND(($C484-M$462)*O$461,2),0)</f>
        <v>0</v>
      </c>
      <c r="Q484" s="17">
        <f>SUM(O484:P484)</f>
        <v>1237</v>
      </c>
      <c r="R484" s="16" t="e">
        <f>ROUND(SUM(N484:P484)*(R483-1),2)</f>
        <v>#N/A</v>
      </c>
      <c r="S484" s="42">
        <f>ROUND($B484*S$461*S483,2)</f>
        <v>0</v>
      </c>
      <c r="T484" s="42">
        <f>ROUND($B484*T$461,2)</f>
        <v>0</v>
      </c>
      <c r="U484" s="42">
        <f>ROUND($B484*U$461,2)</f>
        <v>0</v>
      </c>
      <c r="V484" s="41">
        <f>ROUND($B484*V$453,2)</f>
        <v>0</v>
      </c>
      <c r="W484" s="42">
        <f>ROUND($B484*W$461,2)</f>
        <v>0</v>
      </c>
      <c r="X484" s="42">
        <f>ROUND($B484*X$461,2)</f>
        <v>0</v>
      </c>
      <c r="Y484" s="42">
        <f>ROUND($B484*Y$461,2)</f>
        <v>0</v>
      </c>
      <c r="Z484" s="42">
        <f>ROUND($B484*Z$461,2)</f>
        <v>0</v>
      </c>
      <c r="AA484" s="42">
        <f>ROUND($B484*AA$461,2)</f>
        <v>0</v>
      </c>
      <c r="AB484" s="19" t="e">
        <f>SUM(U$461:AA$461)+(-V$461+V464)</f>
        <v>#VALUE!</v>
      </c>
      <c r="AC484" s="94" t="str">
        <f>+F484</f>
        <v>SL7</v>
      </c>
    </row>
    <row r="485" spans="1:29" x14ac:dyDescent="0.2">
      <c r="B485" s="103">
        <v>-1</v>
      </c>
      <c r="D485" s="32"/>
      <c r="E485" s="103"/>
      <c r="F485" s="36"/>
      <c r="G485" s="92"/>
      <c r="H485" s="19"/>
      <c r="I485" s="19"/>
      <c r="J485" s="16"/>
      <c r="K485" s="17"/>
      <c r="O485" s="17"/>
      <c r="P485" s="17"/>
      <c r="Q485" s="17"/>
      <c r="R485" s="38" t="e">
        <f>INDEX('Pwr Factor'!$A$1:$B$52,MATCH((D486),'Pwr Factor'!$A$1:$A$52,0),2)</f>
        <v>#N/A</v>
      </c>
      <c r="S485" s="50">
        <v>1</v>
      </c>
      <c r="T485" s="17"/>
      <c r="U485" s="17"/>
      <c r="V485" s="8"/>
      <c r="W485" s="17"/>
      <c r="X485" s="17"/>
      <c r="Y485" s="17"/>
      <c r="Z485" s="17"/>
      <c r="AA485" s="17"/>
      <c r="AB485" s="19"/>
      <c r="AC485" s="67"/>
    </row>
    <row r="486" spans="1:29" x14ac:dyDescent="0.2">
      <c r="A486" s="1" t="s">
        <v>148</v>
      </c>
      <c r="B486" s="103">
        <f>IF(AND('AES Indiana Bill Calc.'!$D$17="SL",'AES Indiana Bill Calc.'!$D$18="Yes 100%",'AES Indiana Bill Calc.'!$D$20="Yes 2018"),'AES Indiana Bill Calc.'!$D$19,-1)</f>
        <v>-1</v>
      </c>
      <c r="C486" s="103">
        <f>MAX(E486,$C$462)</f>
        <v>50</v>
      </c>
      <c r="D486" s="103" t="b">
        <f>IF(AND('AES Indiana Bill Calc.'!$D$17="SL",'AES Indiana Bill Calc.'!$D$18="Yes 100%",'AES Indiana Bill Calc.'!$D$20="Yes 2018"),'AES Indiana Bill Calc.'!$D$22)</f>
        <v>0</v>
      </c>
      <c r="E486" s="103" t="b">
        <f>IF(AND('AES Indiana Bill Calc.'!$D$17="SL",'AES Indiana Bill Calc.'!$D$18="Yes 100%",'AES Indiana Bill Calc.'!$D$20="Yes 2018"),'AES Indiana Bill Calc.'!$D$21)</f>
        <v>0</v>
      </c>
      <c r="F486" s="36" t="s">
        <v>203</v>
      </c>
      <c r="G486" s="17" t="e">
        <f>SUM(J486:M486,O486:P486,R486:AA486)</f>
        <v>#N/A</v>
      </c>
      <c r="H486" s="19" t="e">
        <f>IF(ISBLANK(B486),0,+#REF!/B486)</f>
        <v>#REF!</v>
      </c>
      <c r="J486" s="82">
        <f>IF(ISBLANK(B486),0,+J$461)</f>
        <v>120</v>
      </c>
      <c r="K486" s="42">
        <f>ROUND($B486*K$461,2)</f>
        <v>-0.04</v>
      </c>
      <c r="N486" s="18">
        <f>K486</f>
        <v>-0.04</v>
      </c>
      <c r="O486" s="17">
        <f>IF($C486&gt;M$462,ROUND(M$462*M$461,2),ROUND($C486*M$461,2))</f>
        <v>1237</v>
      </c>
      <c r="P486" s="17">
        <f>IF($C486&gt;M$462,ROUND(($C486-M$462)*O$461,2),0)</f>
        <v>0</v>
      </c>
      <c r="Q486" s="17">
        <f>SUM(O486:P486)</f>
        <v>1237</v>
      </c>
      <c r="R486" s="16" t="e">
        <f>ROUND(SUM(N486:P486)*(R485-1),2)</f>
        <v>#N/A</v>
      </c>
      <c r="S486" s="42">
        <f>ROUND($B486*S$461*S485,2)</f>
        <v>0</v>
      </c>
      <c r="T486" s="42">
        <f>ROUND($B486*T$461,2)</f>
        <v>0</v>
      </c>
      <c r="U486" s="42">
        <f>ROUND($B486*U$461,2)</f>
        <v>0</v>
      </c>
      <c r="V486" s="41">
        <f>ROUND($B486*$V$454,2)</f>
        <v>0</v>
      </c>
      <c r="W486" s="42">
        <f>ROUND($B486*W$461,2)</f>
        <v>0</v>
      </c>
      <c r="X486" s="42">
        <f>ROUND($B486*X$461,2)</f>
        <v>0</v>
      </c>
      <c r="Y486" s="42">
        <f>ROUND($B486*Y$461,2)</f>
        <v>0</v>
      </c>
      <c r="Z486" s="42">
        <f>ROUND($B486*Z$461,2)</f>
        <v>0</v>
      </c>
      <c r="AA486" s="42">
        <f>ROUND($B486*AA$461,2)</f>
        <v>0</v>
      </c>
      <c r="AB486" s="19">
        <f>SUM(U$461:AA$461)+(-V$461+V462)</f>
        <v>2.3839999999999981E-3</v>
      </c>
      <c r="AC486" s="94" t="str">
        <f>+F486</f>
        <v>SL8</v>
      </c>
    </row>
    <row r="487" spans="1:29" x14ac:dyDescent="0.2">
      <c r="A487" s="9"/>
      <c r="B487" s="103">
        <v>-1</v>
      </c>
      <c r="D487" s="32"/>
      <c r="E487" s="103"/>
      <c r="F487" s="36"/>
      <c r="G487" s="92"/>
      <c r="H487" s="19"/>
      <c r="I487" s="19"/>
      <c r="J487" s="16"/>
      <c r="K487" s="17"/>
      <c r="O487" s="17"/>
      <c r="P487" s="17"/>
      <c r="Q487" s="17"/>
      <c r="R487" s="38" t="e">
        <f>INDEX('Pwr Factor'!$A$1:$B$52,MATCH((D488),'Pwr Factor'!$A$1:$A$52,0),2)</f>
        <v>#N/A</v>
      </c>
      <c r="S487" s="50">
        <v>0.5</v>
      </c>
      <c r="T487" s="17"/>
      <c r="U487" s="17"/>
      <c r="V487" s="8"/>
      <c r="W487" s="17"/>
      <c r="X487" s="17"/>
      <c r="Y487" s="17"/>
      <c r="Z487" s="17"/>
      <c r="AA487" s="17"/>
      <c r="AB487" s="19"/>
      <c r="AC487" s="67"/>
    </row>
    <row r="488" spans="1:29" x14ac:dyDescent="0.2">
      <c r="A488" s="1" t="s">
        <v>149</v>
      </c>
      <c r="B488" s="103">
        <f>IF(AND('AES Indiana Bill Calc.'!$D$17="SL",'AES Indiana Bill Calc.'!$D$18="Yes 50%",'AES Indiana Bill Calc.'!$D$20="Yes 2018"),'AES Indiana Bill Calc.'!$D$19,-1)</f>
        <v>-1</v>
      </c>
      <c r="C488" s="103">
        <f>MAX(E488,$C$462)</f>
        <v>50</v>
      </c>
      <c r="D488" s="103" t="b">
        <f>IF(AND('AES Indiana Bill Calc.'!$D$17="SL",'AES Indiana Bill Calc.'!$D$18="Yes 50%",'AES Indiana Bill Calc.'!$D$20="Yes 2018"),'AES Indiana Bill Calc.'!$D$22)</f>
        <v>0</v>
      </c>
      <c r="E488" s="103" t="b">
        <f>IF(AND('AES Indiana Bill Calc.'!$D$17="SL",'AES Indiana Bill Calc.'!$D$18="Yes 50%",'AES Indiana Bill Calc.'!$D$20="Yes 2018"),'AES Indiana Bill Calc.'!$D$21)</f>
        <v>0</v>
      </c>
      <c r="F488" s="36" t="s">
        <v>203</v>
      </c>
      <c r="G488" s="17" t="e">
        <f>SUM(J488:M488,O488:P488,R488:AA488)</f>
        <v>#N/A</v>
      </c>
      <c r="H488" s="19" t="e">
        <f>IF(ISBLANK(B488),0,+#REF!/B488)</f>
        <v>#REF!</v>
      </c>
      <c r="J488" s="82">
        <f>IF(ISBLANK(B488),0,+J$461)</f>
        <v>120</v>
      </c>
      <c r="K488" s="42">
        <f>ROUND($B488*K$461,2)</f>
        <v>-0.04</v>
      </c>
      <c r="N488" s="18">
        <f>K488</f>
        <v>-0.04</v>
      </c>
      <c r="O488" s="17">
        <f>IF($C488&gt;M$462,ROUND(M$462*M$461,2),ROUND($C488*M$461,2))</f>
        <v>1237</v>
      </c>
      <c r="P488" s="17">
        <f>IF($C488&gt;M$462,ROUND(($C488-M$462)*O$461,2),0)</f>
        <v>0</v>
      </c>
      <c r="Q488" s="17">
        <f>SUM(O488:P488)</f>
        <v>1237</v>
      </c>
      <c r="R488" s="16" t="e">
        <f>ROUND(SUM(N488:P488)*(R487-1),2)</f>
        <v>#N/A</v>
      </c>
      <c r="S488" s="42">
        <f>ROUND($B488*S$461*S487,2)</f>
        <v>0</v>
      </c>
      <c r="T488" s="42">
        <f>ROUND($B488*T$461,2)</f>
        <v>0</v>
      </c>
      <c r="U488" s="42">
        <f>ROUND($B488*U$461,2)</f>
        <v>0</v>
      </c>
      <c r="V488" s="41">
        <f>ROUND($B488*$V$454,2)</f>
        <v>0</v>
      </c>
      <c r="W488" s="42">
        <f>ROUND($B488*W$461,2)</f>
        <v>0</v>
      </c>
      <c r="X488" s="42">
        <f>ROUND($B488*X$461,2)</f>
        <v>0</v>
      </c>
      <c r="Y488" s="42">
        <f>ROUND($B488*Y$461,2)</f>
        <v>0</v>
      </c>
      <c r="Z488" s="42">
        <f>ROUND($B488*Z$461,2)</f>
        <v>0</v>
      </c>
      <c r="AA488" s="42">
        <f>ROUND($B488*AA$461,2)</f>
        <v>0</v>
      </c>
      <c r="AB488" s="19" t="e">
        <f>SUM(U$461:AA$461)+(-V$461+V464)</f>
        <v>#VALUE!</v>
      </c>
      <c r="AC488" s="94" t="str">
        <f>+F488</f>
        <v>SL8</v>
      </c>
    </row>
    <row r="489" spans="1:29" x14ac:dyDescent="0.2">
      <c r="A489" s="9"/>
      <c r="B489" s="103">
        <v>-1</v>
      </c>
      <c r="D489" s="32"/>
      <c r="E489" s="103"/>
      <c r="F489" s="36"/>
      <c r="G489" s="92"/>
      <c r="H489" s="19"/>
      <c r="I489" s="19"/>
      <c r="J489" s="16"/>
      <c r="K489" s="17"/>
      <c r="O489" s="17"/>
      <c r="P489" s="17"/>
      <c r="Q489" s="17"/>
      <c r="R489" s="38" t="e">
        <f>INDEX('Pwr Factor'!$A$1:$B$52,MATCH((D490),'Pwr Factor'!$A$1:$A$52,0),2)</f>
        <v>#N/A</v>
      </c>
      <c r="S489" s="50">
        <v>0.25</v>
      </c>
      <c r="T489" s="17"/>
      <c r="U489" s="17"/>
      <c r="V489" s="8"/>
      <c r="W489" s="17"/>
      <c r="X489" s="17"/>
      <c r="Y489" s="17"/>
      <c r="Z489" s="17"/>
      <c r="AA489" s="17"/>
      <c r="AB489" s="19"/>
      <c r="AC489" s="67"/>
    </row>
    <row r="490" spans="1:29" x14ac:dyDescent="0.2">
      <c r="A490" s="1" t="s">
        <v>150</v>
      </c>
      <c r="B490" s="103">
        <f>IF(AND('AES Indiana Bill Calc.'!$D$17="SL",'AES Indiana Bill Calc.'!$D$18="Yes 25%",'AES Indiana Bill Calc.'!$D$20="Yes 2018"),'AES Indiana Bill Calc.'!$D$19,-1)</f>
        <v>-1</v>
      </c>
      <c r="C490" s="103">
        <f>MAX(E490,$C$462)</f>
        <v>50</v>
      </c>
      <c r="D490" s="103" t="b">
        <f>IF(AND('AES Indiana Bill Calc.'!$D$17="SL",'AES Indiana Bill Calc.'!$D$18="Yes 25%",'AES Indiana Bill Calc.'!$D$20="Yes 2018"),'AES Indiana Bill Calc.'!$D$22)</f>
        <v>0</v>
      </c>
      <c r="E490" s="103" t="b">
        <f>IF(AND('AES Indiana Bill Calc.'!$D$17="SL",'AES Indiana Bill Calc.'!$D$18="Yes 25%",'AES Indiana Bill Calc.'!$D$20="Yes 2018"),'AES Indiana Bill Calc.'!$D$21)</f>
        <v>0</v>
      </c>
      <c r="F490" s="36" t="s">
        <v>203</v>
      </c>
      <c r="G490" s="17" t="e">
        <f>SUM(J490:M490,O490:P490,R490:AA490)</f>
        <v>#N/A</v>
      </c>
      <c r="H490" s="19" t="e">
        <f>IF(ISBLANK(B490),0,+#REF!/B490)</f>
        <v>#REF!</v>
      </c>
      <c r="J490" s="82">
        <f>IF(ISBLANK(B490),0,+J$461)</f>
        <v>120</v>
      </c>
      <c r="K490" s="42">
        <f>ROUND($B490*K$461,2)</f>
        <v>-0.04</v>
      </c>
      <c r="N490" s="18">
        <f>K490</f>
        <v>-0.04</v>
      </c>
      <c r="O490" s="17">
        <f>IF($C490&gt;M$462,ROUND(M$462*M$461,2),ROUND($C490*M$461,2))</f>
        <v>1237</v>
      </c>
      <c r="P490" s="17">
        <f>IF($C490&gt;M$462,ROUND(($C490-M$462)*O$461,2),0)</f>
        <v>0</v>
      </c>
      <c r="Q490" s="17">
        <f>SUM(O490:P490)</f>
        <v>1237</v>
      </c>
      <c r="R490" s="16" t="e">
        <f>ROUND(SUM(N490:P490)*(R489-1),2)</f>
        <v>#N/A</v>
      </c>
      <c r="S490" s="42">
        <f>ROUND($B490*S$461*S489,2)</f>
        <v>0</v>
      </c>
      <c r="T490" s="42">
        <f>ROUND($B490*T$461,2)</f>
        <v>0</v>
      </c>
      <c r="U490" s="42">
        <f>ROUND($B490*U$461,2)</f>
        <v>0</v>
      </c>
      <c r="V490" s="41">
        <f>ROUND($B490*$V$454,2)</f>
        <v>0</v>
      </c>
      <c r="W490" s="42">
        <f>ROUND($B490*W$461,2)</f>
        <v>0</v>
      </c>
      <c r="X490" s="42">
        <f>ROUND($B490*X$461,2)</f>
        <v>0</v>
      </c>
      <c r="Y490" s="42">
        <f>ROUND($B490*Y$461,2)</f>
        <v>0</v>
      </c>
      <c r="Z490" s="42">
        <f>ROUND($B490*Z$461,2)</f>
        <v>0</v>
      </c>
      <c r="AA490" s="42">
        <f>ROUND($B490*AA$461,2)</f>
        <v>0</v>
      </c>
      <c r="AB490" s="19">
        <f>SUM(U$461:AA$461)+(-V$461+V466)</f>
        <v>-7.6160000000000012E-3</v>
      </c>
      <c r="AC490" s="94" t="str">
        <f>+F490</f>
        <v>SL8</v>
      </c>
    </row>
    <row r="491" spans="1:29" x14ac:dyDescent="0.2">
      <c r="A491" s="9"/>
      <c r="B491" s="103">
        <v>-1</v>
      </c>
      <c r="D491" s="32"/>
      <c r="E491" s="103"/>
      <c r="F491" s="36"/>
      <c r="G491" s="92"/>
      <c r="H491" s="19"/>
      <c r="I491" s="19"/>
      <c r="J491" s="16"/>
      <c r="K491" s="17"/>
      <c r="O491" s="17"/>
      <c r="P491" s="17"/>
      <c r="Q491" s="17"/>
      <c r="R491" s="38" t="e">
        <f>INDEX('Pwr Factor'!$A$1:$B$52,MATCH((D492),'Pwr Factor'!$A$1:$A$52,0),2)</f>
        <v>#N/A</v>
      </c>
      <c r="S491" s="50">
        <v>0.1</v>
      </c>
      <c r="T491" s="17"/>
      <c r="U491" s="17"/>
      <c r="V491" s="8"/>
      <c r="W491" s="17"/>
      <c r="X491" s="17"/>
      <c r="Y491" s="17"/>
      <c r="Z491" s="17"/>
      <c r="AA491" s="17"/>
      <c r="AB491" s="19"/>
      <c r="AC491" s="67"/>
    </row>
    <row r="492" spans="1:29" x14ac:dyDescent="0.2">
      <c r="A492" s="1" t="s">
        <v>164</v>
      </c>
      <c r="B492" s="103">
        <f>IF(AND('AES Indiana Bill Calc.'!$D$17="SL",'AES Indiana Bill Calc.'!$D$18="Yes 10%",'AES Indiana Bill Calc.'!$D$20="Yes 2018"),'AES Indiana Bill Calc.'!$D$19,-1)</f>
        <v>-1</v>
      </c>
      <c r="C492" s="103">
        <f>MAX(E492,$C$462)</f>
        <v>50</v>
      </c>
      <c r="D492" s="103" t="b">
        <f>IF(AND('AES Indiana Bill Calc.'!$D$17="SL",'AES Indiana Bill Calc.'!$D$18="Yes 10%",'AES Indiana Bill Calc.'!$D$20="Yes 2018"),'AES Indiana Bill Calc.'!$D$22)</f>
        <v>0</v>
      </c>
      <c r="E492" s="103" t="b">
        <f>IF(AND('AES Indiana Bill Calc.'!$D$17="SL",'AES Indiana Bill Calc.'!$D$18="Yes 10%",'AES Indiana Bill Calc.'!$D$20="Yes 2018"),'AES Indiana Bill Calc.'!$D$21)</f>
        <v>0</v>
      </c>
      <c r="F492" s="36" t="s">
        <v>203</v>
      </c>
      <c r="G492" s="17" t="e">
        <f>SUM(J492:M492,O492:P492,R492:AA492)</f>
        <v>#N/A</v>
      </c>
      <c r="H492" s="19" t="e">
        <f>IF(ISBLANK(B492),0,+#REF!/B492)</f>
        <v>#REF!</v>
      </c>
      <c r="J492" s="82">
        <f>IF(ISBLANK(B492),0,+J$461)</f>
        <v>120</v>
      </c>
      <c r="K492" s="42">
        <f>ROUND($B492*K$461,2)</f>
        <v>-0.04</v>
      </c>
      <c r="N492" s="18">
        <f>K492</f>
        <v>-0.04</v>
      </c>
      <c r="O492" s="17">
        <f>IF($C492&gt;M$462,ROUND(M$462*M$461,2),ROUND($C492*M$461,2))</f>
        <v>1237</v>
      </c>
      <c r="P492" s="17">
        <f>IF($C492&gt;M$462,ROUND(($C492-M$462)*O$461,2),0)</f>
        <v>0</v>
      </c>
      <c r="Q492" s="17">
        <f>SUM(O492:P492)</f>
        <v>1237</v>
      </c>
      <c r="R492" s="16" t="e">
        <f>ROUND(SUM(N492:P492)*(R491-1),2)</f>
        <v>#N/A</v>
      </c>
      <c r="S492" s="42">
        <f>ROUND($B492*S$461*S491,2)</f>
        <v>0</v>
      </c>
      <c r="T492" s="42">
        <f>ROUND($B492*T$461,2)</f>
        <v>0</v>
      </c>
      <c r="U492" s="42">
        <f>ROUND($B492*U$461,2)</f>
        <v>0</v>
      </c>
      <c r="V492" s="41">
        <f>ROUND($B492*$V$454,2)</f>
        <v>0</v>
      </c>
      <c r="W492" s="42">
        <f>ROUND($B492*W$461,2)</f>
        <v>0</v>
      </c>
      <c r="X492" s="42">
        <f>ROUND($B492*X$461,2)</f>
        <v>0</v>
      </c>
      <c r="Y492" s="42">
        <f>ROUND($B492*Y$461,2)</f>
        <v>0</v>
      </c>
      <c r="Z492" s="42">
        <f>ROUND($B492*Z$461,2)</f>
        <v>0</v>
      </c>
      <c r="AA492" s="42">
        <f>ROUND($B492*AA$461,2)</f>
        <v>0</v>
      </c>
      <c r="AB492" s="19">
        <f>SUM(U$461:AA$461)+(-V$461+V468)</f>
        <v>-7.6160000000000012E-3</v>
      </c>
      <c r="AC492" s="94" t="str">
        <f>+F492</f>
        <v>SL8</v>
      </c>
    </row>
    <row r="493" spans="1:29" x14ac:dyDescent="0.2">
      <c r="A493" s="9"/>
      <c r="B493" s="103">
        <v>-1</v>
      </c>
      <c r="D493" s="32"/>
      <c r="E493" s="103"/>
      <c r="F493" s="36"/>
      <c r="G493" s="92"/>
      <c r="H493" s="19"/>
      <c r="I493" s="19"/>
      <c r="J493" s="16"/>
      <c r="K493" s="17"/>
      <c r="O493" s="17"/>
      <c r="P493" s="17"/>
      <c r="Q493" s="17"/>
      <c r="R493" s="38" t="e">
        <f>INDEX('Pwr Factor'!$A$1:$B$52,MATCH((D494),'Pwr Factor'!$A$1:$A$52,0),2)</f>
        <v>#N/A</v>
      </c>
      <c r="S493" s="50">
        <v>0</v>
      </c>
      <c r="T493" s="17"/>
      <c r="U493" s="17"/>
      <c r="V493" s="8"/>
      <c r="W493" s="17"/>
      <c r="X493" s="17"/>
      <c r="Y493" s="17"/>
      <c r="Z493" s="17"/>
      <c r="AA493" s="17"/>
      <c r="AB493" s="19"/>
      <c r="AC493" s="67"/>
    </row>
    <row r="494" spans="1:29" x14ac:dyDescent="0.2">
      <c r="A494" s="1" t="s">
        <v>147</v>
      </c>
      <c r="B494" s="103">
        <f>IF(AND('AES Indiana Bill Calc.'!$D$17="SL",'AES Indiana Bill Calc.'!$D$18="No",'AES Indiana Bill Calc.'!$D$20="Yes 2018"),'AES Indiana Bill Calc.'!$D$19,-1)</f>
        <v>-1</v>
      </c>
      <c r="C494" s="103">
        <f>MAX(E494,$C$462)</f>
        <v>50</v>
      </c>
      <c r="D494" s="103" t="b">
        <f>IF(AND('AES Indiana Bill Calc.'!$D$17="SL",'AES Indiana Bill Calc.'!$D$18="No",'AES Indiana Bill Calc.'!$D$20="Yes 2018"),'AES Indiana Bill Calc.'!$D$22)</f>
        <v>0</v>
      </c>
      <c r="E494" s="103" t="b">
        <f>IF(AND('AES Indiana Bill Calc.'!$D$17="SL",'AES Indiana Bill Calc.'!$D$18="No",'AES Indiana Bill Calc.'!$D$20="Yes 2018"),'AES Indiana Bill Calc.'!$D$21)</f>
        <v>0</v>
      </c>
      <c r="F494" s="36" t="s">
        <v>203</v>
      </c>
      <c r="G494" s="17" t="e">
        <f>SUM(J494:M494,O494:P494,R494:AA494)</f>
        <v>#N/A</v>
      </c>
      <c r="H494" s="19" t="e">
        <f>IF(ISBLANK(B494),0,+#REF!/B494)</f>
        <v>#REF!</v>
      </c>
      <c r="J494" s="82">
        <f>IF(ISBLANK(B494),0,+J$461)</f>
        <v>120</v>
      </c>
      <c r="K494" s="42">
        <f>ROUND($B494*K$461,2)</f>
        <v>-0.04</v>
      </c>
      <c r="N494" s="18">
        <f>K494</f>
        <v>-0.04</v>
      </c>
      <c r="O494" s="17">
        <f>IF($C494&gt;M$462,ROUND(M$462*M$461,2),ROUND($C494*M$461,2))</f>
        <v>1237</v>
      </c>
      <c r="P494" s="17">
        <f>IF($C494&gt;M$462,ROUND(($C494-M$462)*O$461,2),0)</f>
        <v>0</v>
      </c>
      <c r="Q494" s="17">
        <f>SUM(O494:P494)</f>
        <v>1237</v>
      </c>
      <c r="R494" s="16" t="e">
        <f>ROUND(SUM(N494:P494)*(R493-1),2)</f>
        <v>#N/A</v>
      </c>
      <c r="S494" s="42">
        <f>ROUND($B494*S$461*S493,2)</f>
        <v>0</v>
      </c>
      <c r="T494" s="42">
        <f>ROUND($B494*T$461,2)</f>
        <v>0</v>
      </c>
      <c r="U494" s="42">
        <f>ROUND($B494*U$461,2)</f>
        <v>0</v>
      </c>
      <c r="V494" s="41">
        <f>ROUND($B494*$V$454,2)</f>
        <v>0</v>
      </c>
      <c r="W494" s="42">
        <f>ROUND($B494*W$461,2)</f>
        <v>0</v>
      </c>
      <c r="X494" s="42">
        <f>ROUND($B494*X$461,2)</f>
        <v>0</v>
      </c>
      <c r="Y494" s="42">
        <f>ROUND($B494*Y$461,2)</f>
        <v>0</v>
      </c>
      <c r="Z494" s="42">
        <f>ROUND($B494*Z$461,2)</f>
        <v>0</v>
      </c>
      <c r="AA494" s="42">
        <f>ROUND($B494*AA$461,2)</f>
        <v>0</v>
      </c>
      <c r="AB494" s="19">
        <f>SUM(U$461:AA$461)+(-V$461+V470)</f>
        <v>-7.6160000000000012E-3</v>
      </c>
      <c r="AC494" s="94" t="str">
        <f>+F494</f>
        <v>SL8</v>
      </c>
    </row>
    <row r="495" spans="1:29" x14ac:dyDescent="0.2">
      <c r="A495" s="53"/>
      <c r="B495" s="97">
        <v>-1</v>
      </c>
      <c r="D495" s="87"/>
      <c r="E495" s="97"/>
      <c r="F495" s="36"/>
      <c r="G495" s="98"/>
      <c r="H495" s="19"/>
      <c r="J495" s="104"/>
      <c r="K495" s="98"/>
      <c r="O495" s="98"/>
      <c r="P495" s="98"/>
      <c r="Q495" s="98"/>
      <c r="R495" s="38" t="e">
        <f>INDEX('Pwr Factor'!$A$1:$B$52,MATCH((D496),'Pwr Factor'!$A$1:$A$52,0),2)</f>
        <v>#N/A</v>
      </c>
      <c r="S495" s="50">
        <v>1</v>
      </c>
      <c r="T495" s="98"/>
      <c r="U495" s="98"/>
      <c r="V495" s="87"/>
      <c r="W495" s="98"/>
      <c r="X495" s="98"/>
      <c r="Y495" s="98"/>
      <c r="Z495" s="98"/>
      <c r="AA495" s="98"/>
      <c r="AB495" s="19"/>
      <c r="AC495" s="105"/>
    </row>
    <row r="496" spans="1:29" x14ac:dyDescent="0.2">
      <c r="A496" s="1" t="s">
        <v>148</v>
      </c>
      <c r="B496" s="103">
        <f>IF(AND('AES Indiana Bill Calc.'!$D$17="SL",'AES Indiana Bill Calc.'!$D$18="Yes 100%",'AES Indiana Bill Calc.'!$D$20="Yes 2019"),'AES Indiana Bill Calc.'!$D$19,-1)</f>
        <v>-1</v>
      </c>
      <c r="C496" s="103">
        <f>MAX(E496,$C$462)</f>
        <v>50</v>
      </c>
      <c r="D496" s="103" t="b">
        <f>IF(AND('AES Indiana Bill Calc.'!$D$17="SL",'AES Indiana Bill Calc.'!$D$18="Yes 100%",'AES Indiana Bill Calc.'!$D$20="Yes 2019"),'AES Indiana Bill Calc.'!$D$22)</f>
        <v>0</v>
      </c>
      <c r="E496" s="103" t="b">
        <f>IF(AND('AES Indiana Bill Calc.'!$D$17="SL",'AES Indiana Bill Calc.'!$D$18="Yes 100%",'AES Indiana Bill Calc.'!$D$20="Yes 2019"),'AES Indiana Bill Calc.'!$D$21)</f>
        <v>0</v>
      </c>
      <c r="F496" s="36" t="s">
        <v>204</v>
      </c>
      <c r="G496" s="17" t="e">
        <f>SUM(J496:M496,O496:P496,R496:AA496)</f>
        <v>#N/A</v>
      </c>
      <c r="H496" s="19" t="e">
        <f>IF(ISBLANK(B496),0,+#REF!/B496)</f>
        <v>#REF!</v>
      </c>
      <c r="J496" s="82">
        <f>IF(ISBLANK(B496),0,+J$461)</f>
        <v>120</v>
      </c>
      <c r="K496" s="42">
        <f>ROUND($B496*K$461,2)</f>
        <v>-0.04</v>
      </c>
      <c r="N496" s="18">
        <f>K496</f>
        <v>-0.04</v>
      </c>
      <c r="O496" s="17">
        <f>IF($C496&gt;M$462,ROUND(M$462*M$461,2),ROUND($C496*M$461,2))</f>
        <v>1237</v>
      </c>
      <c r="P496" s="17">
        <f>IF($C496&gt;M$462,ROUND(($C496-M$462)*O$461,2),0)</f>
        <v>0</v>
      </c>
      <c r="Q496" s="17">
        <f>SUM(O496:P496)</f>
        <v>1237</v>
      </c>
      <c r="R496" s="16" t="e">
        <f>ROUND(SUM(N496:P496)*(R495-1),2)</f>
        <v>#N/A</v>
      </c>
      <c r="S496" s="42">
        <f>ROUND($B496*S$461*S495,2)</f>
        <v>0</v>
      </c>
      <c r="T496" s="42">
        <f>ROUND($B496*T$461,2)</f>
        <v>0</v>
      </c>
      <c r="U496" s="42">
        <f>ROUND($B496*U$461,2)</f>
        <v>0</v>
      </c>
      <c r="V496" s="41">
        <f>ROUND($B496*$V$455,2)</f>
        <v>0</v>
      </c>
      <c r="W496" s="42">
        <f>ROUND($B496*W$461,2)</f>
        <v>0</v>
      </c>
      <c r="X496" s="42">
        <f>ROUND($B496*X$461,2)</f>
        <v>0</v>
      </c>
      <c r="Y496" s="42">
        <f>ROUND($B496*Y$461,2)</f>
        <v>0</v>
      </c>
      <c r="Z496" s="42">
        <f>ROUND($B496*Z$461,2)</f>
        <v>0</v>
      </c>
      <c r="AA496" s="42">
        <f>ROUND($B496*AA$461,2)</f>
        <v>0</v>
      </c>
      <c r="AB496" s="19" t="e">
        <f>SUM(U$461:AA$461)+(-V$461+V464)</f>
        <v>#VALUE!</v>
      </c>
      <c r="AC496" s="94" t="str">
        <f>+F496</f>
        <v>SL9</v>
      </c>
    </row>
    <row r="497" spans="1:123" x14ac:dyDescent="0.2">
      <c r="A497" s="9"/>
      <c r="B497" s="97">
        <v>-1</v>
      </c>
      <c r="D497" s="87"/>
      <c r="E497" s="97"/>
      <c r="F497" s="36"/>
      <c r="G497" s="98"/>
      <c r="H497" s="19"/>
      <c r="J497" s="104"/>
      <c r="K497" s="98"/>
      <c r="O497" s="98"/>
      <c r="P497" s="98"/>
      <c r="Q497" s="98"/>
      <c r="R497" s="38" t="e">
        <f>INDEX('Pwr Factor'!$A$1:$B$52,MATCH((D498),'Pwr Factor'!$A$1:$A$52,0),2)</f>
        <v>#N/A</v>
      </c>
      <c r="S497" s="50">
        <v>0.5</v>
      </c>
      <c r="T497" s="98"/>
      <c r="U497" s="98"/>
      <c r="V497" s="87"/>
      <c r="W497" s="98"/>
      <c r="X497" s="98"/>
      <c r="Y497" s="98"/>
      <c r="Z497" s="98"/>
      <c r="AA497" s="98"/>
      <c r="AB497" s="19"/>
      <c r="AC497" s="105"/>
    </row>
    <row r="498" spans="1:123" x14ac:dyDescent="0.2">
      <c r="A498" s="1" t="s">
        <v>149</v>
      </c>
      <c r="B498" s="103">
        <f>IF(AND('AES Indiana Bill Calc.'!$D$17="SL",'AES Indiana Bill Calc.'!$D$18="Yes 50%",'AES Indiana Bill Calc.'!$D$20="Yes 2019"),'AES Indiana Bill Calc.'!$D$19,-1)</f>
        <v>-1</v>
      </c>
      <c r="C498" s="103">
        <f>MAX(E498,$C$462)</f>
        <v>50</v>
      </c>
      <c r="D498" s="103" t="b">
        <f>IF(AND('AES Indiana Bill Calc.'!$D$17="SL",'AES Indiana Bill Calc.'!$D$18="Yes 50%",'AES Indiana Bill Calc.'!$D$20="Yes 2019"),'AES Indiana Bill Calc.'!$D$22)</f>
        <v>0</v>
      </c>
      <c r="E498" s="103" t="b">
        <f>IF(AND('AES Indiana Bill Calc.'!$D$17="SL",'AES Indiana Bill Calc.'!$D$18="Yes 50%",'AES Indiana Bill Calc.'!$D$20="Yes 2019"),'AES Indiana Bill Calc.'!$D$21)</f>
        <v>0</v>
      </c>
      <c r="F498" s="36" t="s">
        <v>204</v>
      </c>
      <c r="G498" s="17" t="e">
        <f>SUM(J498:M498,O498:P498,R498:AA498)</f>
        <v>#N/A</v>
      </c>
      <c r="H498" s="19" t="e">
        <f>IF(ISBLANK(B498),0,+#REF!/B498)</f>
        <v>#REF!</v>
      </c>
      <c r="J498" s="82">
        <f>IF(ISBLANK(B498),0,+J$461)</f>
        <v>120</v>
      </c>
      <c r="K498" s="42">
        <f>ROUND($B498*K$461,2)</f>
        <v>-0.04</v>
      </c>
      <c r="N498" s="18">
        <f>K498</f>
        <v>-0.04</v>
      </c>
      <c r="O498" s="17">
        <f>IF($C498&gt;M$462,ROUND(M$462*M$461,2),ROUND($C498*M$461,2))</f>
        <v>1237</v>
      </c>
      <c r="P498" s="17">
        <f>IF($C498&gt;M$462,ROUND(($C498-M$462)*O$461,2),0)</f>
        <v>0</v>
      </c>
      <c r="Q498" s="17">
        <f>SUM(O498:P498)</f>
        <v>1237</v>
      </c>
      <c r="R498" s="16" t="e">
        <f>ROUND(SUM(N498:P498)*(R497-1),2)</f>
        <v>#N/A</v>
      </c>
      <c r="S498" s="42">
        <f>ROUND($B498*S$461*S497,2)</f>
        <v>0</v>
      </c>
      <c r="T498" s="42">
        <f>ROUND($B498*T$461,2)</f>
        <v>0</v>
      </c>
      <c r="U498" s="42">
        <f>ROUND($B498*U$461,2)</f>
        <v>0</v>
      </c>
      <c r="V498" s="41">
        <f>ROUND($B498*$V$455,2)</f>
        <v>0</v>
      </c>
      <c r="W498" s="42">
        <f>ROUND($B498*W$461,2)</f>
        <v>0</v>
      </c>
      <c r="X498" s="42">
        <f>ROUND($B498*X$461,2)</f>
        <v>0</v>
      </c>
      <c r="Y498" s="42">
        <f>ROUND($B498*Y$461,2)</f>
        <v>0</v>
      </c>
      <c r="Z498" s="42">
        <f>ROUND($B498*Z$461,2)</f>
        <v>0</v>
      </c>
      <c r="AA498" s="42">
        <f>ROUND($B498*AA$461,2)</f>
        <v>0</v>
      </c>
      <c r="AB498" s="19">
        <f>SUM(U$461:AA$461)+(-V$461+V466)</f>
        <v>-7.6160000000000012E-3</v>
      </c>
      <c r="AC498" s="94" t="str">
        <f>+F498</f>
        <v>SL9</v>
      </c>
    </row>
    <row r="499" spans="1:123" x14ac:dyDescent="0.2">
      <c r="A499" s="9"/>
      <c r="B499" s="97">
        <v>-1</v>
      </c>
      <c r="D499" s="87"/>
      <c r="E499" s="97"/>
      <c r="F499" s="36"/>
      <c r="G499" s="98"/>
      <c r="H499" s="19"/>
      <c r="J499" s="104"/>
      <c r="K499" s="98"/>
      <c r="O499" s="98"/>
      <c r="P499" s="98"/>
      <c r="Q499" s="98"/>
      <c r="R499" s="38" t="e">
        <f>INDEX('Pwr Factor'!$A$1:$B$52,MATCH((D500),'Pwr Factor'!$A$1:$A$52,0),2)</f>
        <v>#N/A</v>
      </c>
      <c r="S499" s="50">
        <v>0.25</v>
      </c>
      <c r="T499" s="98"/>
      <c r="U499" s="98"/>
      <c r="V499" s="87"/>
      <c r="W499" s="98"/>
      <c r="X499" s="98"/>
      <c r="Y499" s="98"/>
      <c r="Z499" s="98"/>
      <c r="AA499" s="98"/>
      <c r="AB499" s="19"/>
      <c r="AC499" s="105"/>
    </row>
    <row r="500" spans="1:123" x14ac:dyDescent="0.2">
      <c r="A500" s="1" t="s">
        <v>150</v>
      </c>
      <c r="B500" s="103">
        <f>IF(AND('AES Indiana Bill Calc.'!$D$17="SL",'AES Indiana Bill Calc.'!$D$18="Yes 25%",'AES Indiana Bill Calc.'!$D$20="Yes 2019"),'AES Indiana Bill Calc.'!$D$19,-1)</f>
        <v>-1</v>
      </c>
      <c r="C500" s="103">
        <f>MAX(E500,$C$462)</f>
        <v>50</v>
      </c>
      <c r="D500" s="103" t="b">
        <f>IF(AND('AES Indiana Bill Calc.'!$D$17="SL",'AES Indiana Bill Calc.'!$D$18="Yes 25%",'AES Indiana Bill Calc.'!$D$20="Yes 2019"),'AES Indiana Bill Calc.'!$D$22)</f>
        <v>0</v>
      </c>
      <c r="E500" s="103" t="b">
        <f>IF(AND('AES Indiana Bill Calc.'!$D$17="SL",'AES Indiana Bill Calc.'!$D$18="Yes 25%",'AES Indiana Bill Calc.'!$D$20="Yes 2019"),'AES Indiana Bill Calc.'!$D$21)</f>
        <v>0</v>
      </c>
      <c r="F500" s="36" t="s">
        <v>204</v>
      </c>
      <c r="G500" s="17" t="e">
        <f>SUM(J500:M500,O500:P500,R500:AA500)</f>
        <v>#N/A</v>
      </c>
      <c r="H500" s="19" t="e">
        <f>IF(ISBLANK(B500),0,+#REF!/B500)</f>
        <v>#REF!</v>
      </c>
      <c r="J500" s="82">
        <f>IF(ISBLANK(B500),0,+J$461)</f>
        <v>120</v>
      </c>
      <c r="K500" s="42">
        <f>ROUND($B500*K$461,2)</f>
        <v>-0.04</v>
      </c>
      <c r="N500" s="18">
        <f>K500</f>
        <v>-0.04</v>
      </c>
      <c r="O500" s="17">
        <f>IF($C500&gt;M$462,ROUND(M$462*M$461,2),ROUND($C500*M$461,2))</f>
        <v>1237</v>
      </c>
      <c r="P500" s="17">
        <f>IF($C500&gt;M$462,ROUND(($C500-M$462)*O$461,2),0)</f>
        <v>0</v>
      </c>
      <c r="Q500" s="17">
        <f>SUM(O500:P500)</f>
        <v>1237</v>
      </c>
      <c r="R500" s="16" t="e">
        <f>ROUND(SUM(N500:P500)*(R499-1),2)</f>
        <v>#N/A</v>
      </c>
      <c r="S500" s="42">
        <f>ROUND($B500*S$461*S499,2)</f>
        <v>0</v>
      </c>
      <c r="T500" s="42">
        <f>ROUND($B500*T$461,2)</f>
        <v>0</v>
      </c>
      <c r="U500" s="42">
        <f>ROUND($B500*U$461,2)</f>
        <v>0</v>
      </c>
      <c r="V500" s="41">
        <f>ROUND($B500*$V$455,2)</f>
        <v>0</v>
      </c>
      <c r="W500" s="42">
        <f>ROUND($B500*W$461,2)</f>
        <v>0</v>
      </c>
      <c r="X500" s="42">
        <f>ROUND($B500*X$461,2)</f>
        <v>0</v>
      </c>
      <c r="Y500" s="42">
        <f>ROUND($B500*Y$461,2)</f>
        <v>0</v>
      </c>
      <c r="Z500" s="42">
        <f>ROUND($B500*Z$461,2)</f>
        <v>0</v>
      </c>
      <c r="AA500" s="42">
        <f>ROUND($B500*AA$461,2)</f>
        <v>0</v>
      </c>
      <c r="AB500" s="19">
        <f>SUM(U$461:AA$461)+(-V$461+V468)</f>
        <v>-7.6160000000000012E-3</v>
      </c>
      <c r="AC500" s="94" t="str">
        <f>+F500</f>
        <v>SL9</v>
      </c>
    </row>
    <row r="501" spans="1:123" x14ac:dyDescent="0.2">
      <c r="A501" s="9"/>
      <c r="B501" s="97">
        <v>-1</v>
      </c>
      <c r="D501" s="87"/>
      <c r="E501" s="97"/>
      <c r="F501" s="36"/>
      <c r="G501" s="98"/>
      <c r="H501" s="19"/>
      <c r="J501" s="104"/>
      <c r="K501" s="98"/>
      <c r="O501" s="98"/>
      <c r="P501" s="98"/>
      <c r="Q501" s="98"/>
      <c r="R501" s="38" t="e">
        <f>INDEX('Pwr Factor'!$A$1:$B$52,MATCH((D502),'Pwr Factor'!$A$1:$A$52,0),2)</f>
        <v>#N/A</v>
      </c>
      <c r="S501" s="50">
        <v>0.1</v>
      </c>
      <c r="T501" s="98"/>
      <c r="U501" s="98"/>
      <c r="V501" s="87"/>
      <c r="W501" s="98"/>
      <c r="X501" s="98"/>
      <c r="Y501" s="98"/>
      <c r="Z501" s="98"/>
      <c r="AA501" s="98"/>
      <c r="AB501" s="19"/>
      <c r="AC501" s="105"/>
    </row>
    <row r="502" spans="1:123" x14ac:dyDescent="0.2">
      <c r="A502" s="1" t="s">
        <v>164</v>
      </c>
      <c r="B502" s="103">
        <f>IF(AND('AES Indiana Bill Calc.'!$D$17="SL",'AES Indiana Bill Calc.'!$D$18="Yes 10%",'AES Indiana Bill Calc.'!$D$20="Yes 2019"),'AES Indiana Bill Calc.'!$D$19,-1)</f>
        <v>-1</v>
      </c>
      <c r="C502" s="103">
        <f>MAX(E502,$C$462)</f>
        <v>50</v>
      </c>
      <c r="D502" s="103" t="b">
        <f>IF(AND('AES Indiana Bill Calc.'!$D$17="SL",'AES Indiana Bill Calc.'!$D$18="Yes 10%",'AES Indiana Bill Calc.'!$D$20="Yes 2019"),'AES Indiana Bill Calc.'!$D$22)</f>
        <v>0</v>
      </c>
      <c r="E502" s="103" t="b">
        <f>IF(AND('AES Indiana Bill Calc.'!$D$17="SL",'AES Indiana Bill Calc.'!$D$18="Yes 10%",'AES Indiana Bill Calc.'!$D$20="Yes 2019"),'AES Indiana Bill Calc.'!$D$21)</f>
        <v>0</v>
      </c>
      <c r="F502" s="36" t="s">
        <v>204</v>
      </c>
      <c r="G502" s="17" t="e">
        <f>SUM(J502:M502,O502:P502,R502:AA502)</f>
        <v>#N/A</v>
      </c>
      <c r="H502" s="19" t="e">
        <f>IF(ISBLANK(B502),0,+#REF!/B502)</f>
        <v>#REF!</v>
      </c>
      <c r="J502" s="82">
        <f>IF(ISBLANK(B502),0,+J$461)</f>
        <v>120</v>
      </c>
      <c r="K502" s="42">
        <f>ROUND($B502*K$461,2)</f>
        <v>-0.04</v>
      </c>
      <c r="N502" s="18">
        <f>K502</f>
        <v>-0.04</v>
      </c>
      <c r="O502" s="17">
        <f>IF($C502&gt;M$462,ROUND(M$462*M$461,2),ROUND($C502*M$461,2))</f>
        <v>1237</v>
      </c>
      <c r="P502" s="17">
        <f>IF($C502&gt;M$462,ROUND(($C502-M$462)*O$461,2),0)</f>
        <v>0</v>
      </c>
      <c r="Q502" s="17">
        <f>SUM(O502:P502)</f>
        <v>1237</v>
      </c>
      <c r="R502" s="16" t="e">
        <f>ROUND(SUM(N502:P502)*(R501-1),2)</f>
        <v>#N/A</v>
      </c>
      <c r="S502" s="42">
        <f>ROUND($B502*S$461*S501,2)</f>
        <v>0</v>
      </c>
      <c r="T502" s="42">
        <f>ROUND($B502*T$461,2)</f>
        <v>0</v>
      </c>
      <c r="U502" s="42">
        <f>ROUND($B502*U$461,2)</f>
        <v>0</v>
      </c>
      <c r="V502" s="41">
        <f>ROUND($B502*$V$455,2)</f>
        <v>0</v>
      </c>
      <c r="W502" s="42">
        <f>ROUND($B502*W$461,2)</f>
        <v>0</v>
      </c>
      <c r="X502" s="42">
        <f>ROUND($B502*X$461,2)</f>
        <v>0</v>
      </c>
      <c r="Y502" s="42">
        <f>ROUND($B502*Y$461,2)</f>
        <v>0</v>
      </c>
      <c r="Z502" s="42">
        <f>ROUND($B502*Z$461,2)</f>
        <v>0</v>
      </c>
      <c r="AA502" s="42">
        <f>ROUND($B502*AA$461,2)</f>
        <v>0</v>
      </c>
      <c r="AB502" s="19">
        <f>SUM(U$461:AA$461)+(-V$461+V470)</f>
        <v>-7.6160000000000012E-3</v>
      </c>
      <c r="AC502" s="94" t="str">
        <f>+F502</f>
        <v>SL9</v>
      </c>
    </row>
    <row r="503" spans="1:123" x14ac:dyDescent="0.2">
      <c r="A503" s="9"/>
      <c r="B503" s="97">
        <v>-1</v>
      </c>
      <c r="D503" s="87"/>
      <c r="E503" s="97"/>
      <c r="F503" s="36"/>
      <c r="G503" s="98"/>
      <c r="H503" s="19"/>
      <c r="J503" s="104"/>
      <c r="K503" s="98"/>
      <c r="O503" s="98"/>
      <c r="P503" s="98"/>
      <c r="Q503" s="98"/>
      <c r="R503" s="38" t="e">
        <f>INDEX('Pwr Factor'!$A$1:$B$52,MATCH((D504),'Pwr Factor'!$A$1:$A$52,0),2)</f>
        <v>#N/A</v>
      </c>
      <c r="S503" s="50">
        <v>0</v>
      </c>
      <c r="T503" s="98"/>
      <c r="U503" s="98"/>
      <c r="V503" s="87"/>
      <c r="W503" s="98"/>
      <c r="X503" s="98"/>
      <c r="Y503" s="98"/>
      <c r="Z503" s="98"/>
      <c r="AA503" s="98"/>
      <c r="AB503" s="19"/>
      <c r="AC503" s="105"/>
    </row>
    <row r="504" spans="1:123" x14ac:dyDescent="0.2">
      <c r="A504" s="1" t="s">
        <v>147</v>
      </c>
      <c r="B504" s="103">
        <f>IF(AND('AES Indiana Bill Calc.'!$D$17="SL",'AES Indiana Bill Calc.'!$D$18="No",'AES Indiana Bill Calc.'!$D$20="Yes 2019"),'AES Indiana Bill Calc.'!$D$19,-1)</f>
        <v>-1</v>
      </c>
      <c r="C504" s="103">
        <f>MAX(E504,$C$462)</f>
        <v>50</v>
      </c>
      <c r="D504" s="103" t="b">
        <f>IF(AND('AES Indiana Bill Calc.'!$D$17="SL",'AES Indiana Bill Calc.'!$D$18="No",'AES Indiana Bill Calc.'!$D$20="Yes 2019"),'AES Indiana Bill Calc.'!$D$22)</f>
        <v>0</v>
      </c>
      <c r="E504" s="103" t="b">
        <f>IF(AND('AES Indiana Bill Calc.'!$D$17="SL",'AES Indiana Bill Calc.'!$D$18="No",'AES Indiana Bill Calc.'!$D$20="Yes 2019"),'AES Indiana Bill Calc.'!$D$21)</f>
        <v>0</v>
      </c>
      <c r="F504" s="36" t="s">
        <v>204</v>
      </c>
      <c r="G504" s="17" t="e">
        <f>SUM(J504:M504,O504:P504,R504:AA504)</f>
        <v>#N/A</v>
      </c>
      <c r="H504" s="19" t="e">
        <f>IF(ISBLANK(B504),0,+#REF!/B504)</f>
        <v>#REF!</v>
      </c>
      <c r="J504" s="82">
        <f>IF(ISBLANK(B504),0,+J$461)</f>
        <v>120</v>
      </c>
      <c r="K504" s="42">
        <f>ROUND($B504*K$461,2)</f>
        <v>-0.04</v>
      </c>
      <c r="N504" s="18">
        <f>K504</f>
        <v>-0.04</v>
      </c>
      <c r="O504" s="17">
        <f>IF($C504&gt;M$462,ROUND(M$462*M$461,2),ROUND($C504*M$461,2))</f>
        <v>1237</v>
      </c>
      <c r="P504" s="17">
        <f>IF($C504&gt;M$462,ROUND(($C504-M$462)*O$461,2),0)</f>
        <v>0</v>
      </c>
      <c r="Q504" s="17">
        <f>SUM(O504:P504)</f>
        <v>1237</v>
      </c>
      <c r="R504" s="16" t="e">
        <f>ROUND(SUM(N504:P504)*(R503-1),2)</f>
        <v>#N/A</v>
      </c>
      <c r="S504" s="42">
        <f>ROUND($B504*S$461*S503,2)</f>
        <v>0</v>
      </c>
      <c r="T504" s="42">
        <f>ROUND($B504*T$461,2)</f>
        <v>0</v>
      </c>
      <c r="U504" s="42">
        <f>ROUND($B504*U$461,2)</f>
        <v>0</v>
      </c>
      <c r="V504" s="41">
        <f>ROUND($B504*$V$455,2)</f>
        <v>0</v>
      </c>
      <c r="W504" s="42">
        <f>ROUND($B504*W$461,2)</f>
        <v>0</v>
      </c>
      <c r="X504" s="42">
        <f>ROUND($B504*X$461,2)</f>
        <v>0</v>
      </c>
      <c r="Y504" s="42">
        <f>ROUND($B504*Y$461,2)</f>
        <v>0</v>
      </c>
      <c r="Z504" s="42">
        <f>ROUND($B504*Z$461,2)</f>
        <v>0</v>
      </c>
      <c r="AA504" s="42">
        <f>ROUND($B504*AA$461,2)</f>
        <v>0</v>
      </c>
      <c r="AB504" s="19">
        <f>SUM(U$461:AA$461)+(-V$461+V472)</f>
        <v>-7.6160000000000012E-3</v>
      </c>
      <c r="AC504" s="94" t="str">
        <f>+F504</f>
        <v>SL9</v>
      </c>
    </row>
    <row r="505" spans="1:123" x14ac:dyDescent="0.2">
      <c r="A505" s="53"/>
      <c r="B505" s="97">
        <v>-1</v>
      </c>
      <c r="D505" s="87"/>
      <c r="E505" s="97"/>
      <c r="F505" s="36"/>
      <c r="G505" s="98"/>
      <c r="H505" s="19"/>
      <c r="J505" s="82"/>
      <c r="K505" s="42"/>
      <c r="O505" s="42"/>
      <c r="P505" s="42"/>
      <c r="Q505" s="42"/>
      <c r="R505" s="38" t="e">
        <f>INDEX('Pwr Factor'!$A$1:$B$52,MATCH((D506),'Pwr Factor'!$A$1:$A$52,0),2)</f>
        <v>#N/A</v>
      </c>
      <c r="S505" s="50">
        <v>1</v>
      </c>
      <c r="T505" s="42"/>
      <c r="U505" s="42"/>
      <c r="V505" s="41"/>
      <c r="W505" s="42"/>
      <c r="X505" s="42"/>
      <c r="Y505" s="42"/>
      <c r="Z505" s="42"/>
      <c r="AA505" s="42"/>
      <c r="AB505" s="19"/>
      <c r="AC505" s="67"/>
    </row>
    <row r="506" spans="1:123" s="21" customFormat="1" ht="13.5" thickBot="1" x14ac:dyDescent="0.25">
      <c r="A506" s="1" t="s">
        <v>148</v>
      </c>
      <c r="B506" s="103">
        <f>IF(AND('AES Indiana Bill Calc.'!$D$17="SL",'AES Indiana Bill Calc.'!$D$18="Yes 100%",'AES Indiana Bill Calc.'!$D$20="Yes 2020"),'AES Indiana Bill Calc.'!$D$19,-1)</f>
        <v>-1</v>
      </c>
      <c r="C506" s="103">
        <f>MAX(E506,$C$462)</f>
        <v>50</v>
      </c>
      <c r="D506" s="103" t="b">
        <f>IF(AND('AES Indiana Bill Calc.'!$D$17="SL",'AES Indiana Bill Calc.'!$D$18="Yes 100%",'AES Indiana Bill Calc.'!$D$20="Yes 2020"),'AES Indiana Bill Calc.'!$D$22)</f>
        <v>0</v>
      </c>
      <c r="E506" s="103" t="b">
        <f>IF(AND('AES Indiana Bill Calc.'!$D$17="SL",'AES Indiana Bill Calc.'!$D$18="Yes 100%",'AES Indiana Bill Calc.'!$D$20="Yes 2020"),'AES Indiana Bill Calc.'!$D$21)</f>
        <v>0</v>
      </c>
      <c r="F506" s="36" t="s">
        <v>205</v>
      </c>
      <c r="G506" s="17" t="e">
        <f>SUM(J506:M506,O506:P506,R506:AA506)</f>
        <v>#N/A</v>
      </c>
      <c r="H506" s="19" t="e">
        <f>IF(ISBLANK(B506),0,+#REF!/B506)</f>
        <v>#REF!</v>
      </c>
      <c r="I506"/>
      <c r="J506" s="82">
        <f>IF(ISBLANK(B506),0,+J$461)</f>
        <v>120</v>
      </c>
      <c r="K506" s="42">
        <f>ROUND($B506*K$461,2)</f>
        <v>-0.04</v>
      </c>
      <c r="L506"/>
      <c r="M506"/>
      <c r="N506" s="18">
        <f>K506</f>
        <v>-0.04</v>
      </c>
      <c r="O506" s="17">
        <f>IF($C506&gt;M$462,ROUND(M$462*M$461,2),ROUND($C506*M$461,2))</f>
        <v>1237</v>
      </c>
      <c r="P506" s="17">
        <f>IF($C506&gt;M$462,ROUND(($C506-M$462)*O$461,2),0)</f>
        <v>0</v>
      </c>
      <c r="Q506" s="17">
        <f>SUM(O506:P506)</f>
        <v>1237</v>
      </c>
      <c r="R506" s="16" t="e">
        <f>ROUND(SUM(N506:P506)*(R505-1),2)</f>
        <v>#N/A</v>
      </c>
      <c r="S506" s="42">
        <f>ROUND($B506*S$461*S505,2)</f>
        <v>0</v>
      </c>
      <c r="T506" s="42">
        <f>ROUND($B506*T$461,2)</f>
        <v>0</v>
      </c>
      <c r="U506" s="42">
        <f>ROUND($B506*U$461,2)</f>
        <v>0</v>
      </c>
      <c r="V506" s="41">
        <f>ROUND($B506*$V$456,2)</f>
        <v>0</v>
      </c>
      <c r="W506" s="42">
        <f>ROUND($B506*W$461,2)</f>
        <v>0</v>
      </c>
      <c r="X506" s="42">
        <f>ROUND($B506*X$461,2)</f>
        <v>0</v>
      </c>
      <c r="Y506" s="42">
        <f>ROUND($B506*Y$461,2)</f>
        <v>0</v>
      </c>
      <c r="Z506" s="42">
        <f>ROUND($B506*Z$461,2)</f>
        <v>0</v>
      </c>
      <c r="AA506" s="42">
        <f>ROUND($B506*AA$461,2)</f>
        <v>0</v>
      </c>
      <c r="AB506" s="19">
        <f>SUM(U$461:AA$461)+(-V$461+V466)</f>
        <v>-7.6160000000000012E-3</v>
      </c>
      <c r="AC506" s="94" t="str">
        <f>+F506</f>
        <v>SL0</v>
      </c>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row>
    <row r="507" spans="1:123" x14ac:dyDescent="0.2">
      <c r="A507" s="9"/>
      <c r="B507" s="97">
        <v>-1</v>
      </c>
      <c r="D507" s="87"/>
      <c r="E507" s="97"/>
      <c r="F507" s="36"/>
      <c r="G507" s="98"/>
      <c r="H507" s="19"/>
      <c r="J507" s="82"/>
      <c r="K507" s="42"/>
      <c r="O507" s="42"/>
      <c r="P507" s="42"/>
      <c r="Q507" s="42"/>
      <c r="R507" s="38" t="e">
        <f>INDEX('Pwr Factor'!$A$1:$B$52,MATCH((D508),'Pwr Factor'!$A$1:$A$52,0),2)</f>
        <v>#N/A</v>
      </c>
      <c r="S507" s="50">
        <v>0.5</v>
      </c>
      <c r="T507" s="42"/>
      <c r="U507" s="42"/>
      <c r="V507" s="41"/>
      <c r="W507" s="42"/>
      <c r="X507" s="42"/>
      <c r="Y507" s="42"/>
      <c r="Z507" s="42"/>
      <c r="AA507" s="42"/>
      <c r="AB507" s="19"/>
      <c r="AC507" s="67"/>
    </row>
    <row r="508" spans="1:123" x14ac:dyDescent="0.2">
      <c r="A508" s="1" t="s">
        <v>149</v>
      </c>
      <c r="B508" s="103">
        <f>IF(AND('AES Indiana Bill Calc.'!$D$17="SL",'AES Indiana Bill Calc.'!$D$18="Yes 50%",'AES Indiana Bill Calc.'!$D$20="Yes 2020"),'AES Indiana Bill Calc.'!$D$19,-1)</f>
        <v>-1</v>
      </c>
      <c r="C508" s="103">
        <f>MAX(E508,$C$462)</f>
        <v>50</v>
      </c>
      <c r="D508" s="103" t="b">
        <f>IF(AND('AES Indiana Bill Calc.'!$D$17="SL",'AES Indiana Bill Calc.'!$D$18="Yes 50%",'AES Indiana Bill Calc.'!$D$20="Yes 2020"),'AES Indiana Bill Calc.'!$D$22)</f>
        <v>0</v>
      </c>
      <c r="E508" s="103" t="b">
        <f>IF(AND('AES Indiana Bill Calc.'!$D$17="SL",'AES Indiana Bill Calc.'!$D$18="Yes 50%",'AES Indiana Bill Calc.'!$D$20="Yes 2020"),'AES Indiana Bill Calc.'!$D$21)</f>
        <v>0</v>
      </c>
      <c r="F508" s="36" t="s">
        <v>205</v>
      </c>
      <c r="G508" s="17" t="e">
        <f>SUM(J508:M508,O508:P508,R508:AA508)</f>
        <v>#N/A</v>
      </c>
      <c r="H508" s="19" t="e">
        <f>IF(ISBLANK(B508),0,+#REF!/B508)</f>
        <v>#REF!</v>
      </c>
      <c r="J508" s="82">
        <f>IF(ISBLANK(B508),0,+J$461)</f>
        <v>120</v>
      </c>
      <c r="K508" s="42">
        <f>ROUND($B508*K$461,2)</f>
        <v>-0.04</v>
      </c>
      <c r="N508" s="18">
        <f>K508</f>
        <v>-0.04</v>
      </c>
      <c r="O508" s="17">
        <f>IF($C508&gt;M$462,ROUND(M$462*M$461,2),ROUND($C508*M$461,2))</f>
        <v>1237</v>
      </c>
      <c r="P508" s="17">
        <f>IF($C508&gt;M$462,ROUND(($C508-M$462)*O$461,2),0)</f>
        <v>0</v>
      </c>
      <c r="Q508" s="17">
        <f>SUM(O508:P508)</f>
        <v>1237</v>
      </c>
      <c r="R508" s="16" t="e">
        <f>ROUND(SUM(N508:P508)*(R507-1),2)</f>
        <v>#N/A</v>
      </c>
      <c r="S508" s="42">
        <f>ROUND($B508*S$461*S507,2)</f>
        <v>0</v>
      </c>
      <c r="T508" s="42">
        <f>ROUND($B508*T$461,2)</f>
        <v>0</v>
      </c>
      <c r="U508" s="42">
        <f>ROUND($B508*U$461,2)</f>
        <v>0</v>
      </c>
      <c r="V508" s="41">
        <f>ROUND($B508*$V$456,2)</f>
        <v>0</v>
      </c>
      <c r="W508" s="42">
        <f>ROUND($B508*W$461,2)</f>
        <v>0</v>
      </c>
      <c r="X508" s="42">
        <f>ROUND($B508*X$461,2)</f>
        <v>0</v>
      </c>
      <c r="Y508" s="42">
        <f>ROUND($B508*Y$461,2)</f>
        <v>0</v>
      </c>
      <c r="Z508" s="42">
        <f>ROUND($B508*Z$461,2)</f>
        <v>0</v>
      </c>
      <c r="AA508" s="42">
        <f>ROUND($B508*AA$461,2)</f>
        <v>0</v>
      </c>
      <c r="AB508" s="19">
        <f>SUM(U$461:AA$461)+(-V$461+V468)</f>
        <v>-7.6160000000000012E-3</v>
      </c>
      <c r="AC508" s="94" t="str">
        <f>+F508</f>
        <v>SL0</v>
      </c>
    </row>
    <row r="509" spans="1:123" x14ac:dyDescent="0.2">
      <c r="A509" s="9"/>
      <c r="B509" s="97">
        <v>-1</v>
      </c>
      <c r="D509" s="87"/>
      <c r="E509" s="97"/>
      <c r="F509" s="36"/>
      <c r="G509" s="98"/>
      <c r="H509" s="19"/>
      <c r="J509" s="82"/>
      <c r="K509" s="42"/>
      <c r="O509" s="42"/>
      <c r="P509" s="42"/>
      <c r="Q509" s="42"/>
      <c r="R509" s="38" t="e">
        <f>INDEX('Pwr Factor'!$A$1:$B$52,MATCH((D510),'Pwr Factor'!$A$1:$A$52,0),2)</f>
        <v>#N/A</v>
      </c>
      <c r="S509" s="50">
        <v>0.25</v>
      </c>
      <c r="T509" s="42"/>
      <c r="U509" s="42"/>
      <c r="V509" s="41"/>
      <c r="W509" s="42"/>
      <c r="X509" s="42"/>
      <c r="Y509" s="42"/>
      <c r="Z509" s="42"/>
      <c r="AA509" s="42"/>
      <c r="AB509" s="19"/>
      <c r="AC509" s="67"/>
    </row>
    <row r="510" spans="1:123" x14ac:dyDescent="0.2">
      <c r="A510" s="1" t="s">
        <v>150</v>
      </c>
      <c r="B510" s="103">
        <f>IF(AND('AES Indiana Bill Calc.'!$D$17="SL",'AES Indiana Bill Calc.'!$D$18="Yes 25%",'AES Indiana Bill Calc.'!$D$20="Yes 2020"),'AES Indiana Bill Calc.'!$D$19,-1)</f>
        <v>-1</v>
      </c>
      <c r="C510" s="103">
        <f>MAX(E510,$C$462)</f>
        <v>50</v>
      </c>
      <c r="D510" s="103" t="b">
        <f>IF(AND('AES Indiana Bill Calc.'!$D$17="SL",'AES Indiana Bill Calc.'!$D$18="Yes 25%",'AES Indiana Bill Calc.'!$D$20="Yes 2020"),'AES Indiana Bill Calc.'!$D$22)</f>
        <v>0</v>
      </c>
      <c r="E510" s="103" t="b">
        <f>IF(AND('AES Indiana Bill Calc.'!$D$17="SL",'AES Indiana Bill Calc.'!$D$18="Yes 25%",'AES Indiana Bill Calc.'!$D$20="Yes 2020"),'AES Indiana Bill Calc.'!$D$21)</f>
        <v>0</v>
      </c>
      <c r="F510" s="36" t="s">
        <v>205</v>
      </c>
      <c r="G510" s="17" t="e">
        <f>SUM(J510:M510,O510:P510,R510:AA510)</f>
        <v>#N/A</v>
      </c>
      <c r="H510" s="19" t="e">
        <f>IF(ISBLANK(B510),0,+#REF!/B510)</f>
        <v>#REF!</v>
      </c>
      <c r="J510" s="82">
        <f>IF(ISBLANK(B510),0,+J$461)</f>
        <v>120</v>
      </c>
      <c r="K510" s="42">
        <f>ROUND($B510*K$461,2)</f>
        <v>-0.04</v>
      </c>
      <c r="N510" s="18">
        <f>K510</f>
        <v>-0.04</v>
      </c>
      <c r="O510" s="17">
        <f>IF($C510&gt;M$462,ROUND(M$462*M$461,2),ROUND($C510*M$461,2))</f>
        <v>1237</v>
      </c>
      <c r="P510" s="17">
        <f>IF($C510&gt;M$462,ROUND(($C510-M$462)*O$461,2),0)</f>
        <v>0</v>
      </c>
      <c r="Q510" s="17">
        <f>SUM(O510:P510)</f>
        <v>1237</v>
      </c>
      <c r="R510" s="16" t="e">
        <f>ROUND(SUM(N510:P510)*(R509-1),2)</f>
        <v>#N/A</v>
      </c>
      <c r="S510" s="42">
        <f>ROUND($B510*S$461*S509,2)</f>
        <v>0</v>
      </c>
      <c r="T510" s="42">
        <f>ROUND($B510*T$461,2)</f>
        <v>0</v>
      </c>
      <c r="U510" s="42">
        <f>ROUND($B510*U$461,2)</f>
        <v>0</v>
      </c>
      <c r="V510" s="41">
        <f>ROUND($B510*$V$456,2)</f>
        <v>0</v>
      </c>
      <c r="W510" s="42">
        <f>ROUND($B510*W$461,2)</f>
        <v>0</v>
      </c>
      <c r="X510" s="42">
        <f>ROUND($B510*X$461,2)</f>
        <v>0</v>
      </c>
      <c r="Y510" s="42">
        <f>ROUND($B510*Y$461,2)</f>
        <v>0</v>
      </c>
      <c r="Z510" s="42">
        <f>ROUND($B510*Z$461,2)</f>
        <v>0</v>
      </c>
      <c r="AA510" s="42">
        <f>ROUND($B510*AA$461,2)</f>
        <v>0</v>
      </c>
      <c r="AB510" s="19">
        <f>SUM(U$461:AA$461)+(-V$461+V470)</f>
        <v>-7.6160000000000012E-3</v>
      </c>
      <c r="AC510" s="94" t="str">
        <f>+F510</f>
        <v>SL0</v>
      </c>
    </row>
    <row r="511" spans="1:123" x14ac:dyDescent="0.2">
      <c r="A511" s="9"/>
      <c r="B511" s="97">
        <v>-1</v>
      </c>
      <c r="D511" s="87"/>
      <c r="E511" s="97"/>
      <c r="F511" s="36"/>
      <c r="G511" s="98"/>
      <c r="H511" s="19"/>
      <c r="J511" s="82"/>
      <c r="K511" s="42"/>
      <c r="O511" s="42"/>
      <c r="P511" s="42"/>
      <c r="Q511" s="42"/>
      <c r="R511" s="38" t="e">
        <f>INDEX('Pwr Factor'!$A$1:$B$52,MATCH((D512),'Pwr Factor'!$A$1:$A$52,0),2)</f>
        <v>#N/A</v>
      </c>
      <c r="S511" s="50">
        <v>0.1</v>
      </c>
      <c r="T511" s="42"/>
      <c r="U511" s="42"/>
      <c r="V511" s="41"/>
      <c r="W511" s="42"/>
      <c r="X511" s="42"/>
      <c r="Y511" s="42"/>
      <c r="Z511" s="42"/>
      <c r="AA511" s="42"/>
      <c r="AB511" s="19"/>
      <c r="AC511" s="67"/>
    </row>
    <row r="512" spans="1:123" x14ac:dyDescent="0.2">
      <c r="A512" s="1" t="s">
        <v>164</v>
      </c>
      <c r="B512" s="103">
        <f>IF(AND('AES Indiana Bill Calc.'!$D$17="SL",'AES Indiana Bill Calc.'!$D$18="Yes 10%",'AES Indiana Bill Calc.'!$D$20="Yes 2020"),'AES Indiana Bill Calc.'!$D$19,-1)</f>
        <v>-1</v>
      </c>
      <c r="C512" s="103">
        <f>MAX(E512,$C$462)</f>
        <v>50</v>
      </c>
      <c r="D512" s="103" t="b">
        <f>IF(AND('AES Indiana Bill Calc.'!$D$17="SL",'AES Indiana Bill Calc.'!$D$18="Yes 10%",'AES Indiana Bill Calc.'!$D$20="Yes 2020"),'AES Indiana Bill Calc.'!$D$22)</f>
        <v>0</v>
      </c>
      <c r="E512" s="103" t="b">
        <f>IF(AND('AES Indiana Bill Calc.'!$D$17="SL",'AES Indiana Bill Calc.'!$D$18="Yes 10%",'AES Indiana Bill Calc.'!$D$20="Yes 2020"),'AES Indiana Bill Calc.'!$D$21)</f>
        <v>0</v>
      </c>
      <c r="F512" s="36" t="s">
        <v>205</v>
      </c>
      <c r="G512" s="17" t="e">
        <f>SUM(J512:M512,O512:P512,R512:AA512)</f>
        <v>#N/A</v>
      </c>
      <c r="H512" s="19" t="e">
        <f>IF(ISBLANK(B512),0,+#REF!/B512)</f>
        <v>#REF!</v>
      </c>
      <c r="J512" s="82">
        <f>IF(ISBLANK(B512),0,+J$461)</f>
        <v>120</v>
      </c>
      <c r="K512" s="42">
        <f>ROUND($B512*K$461,2)</f>
        <v>-0.04</v>
      </c>
      <c r="N512" s="18">
        <f>K512</f>
        <v>-0.04</v>
      </c>
      <c r="O512" s="17">
        <f>IF($C512&gt;M$462,ROUND(M$462*M$461,2),ROUND($C512*M$461,2))</f>
        <v>1237</v>
      </c>
      <c r="P512" s="17">
        <f>IF($C512&gt;M$462,ROUND(($C512-M$462)*O$461,2),0)</f>
        <v>0</v>
      </c>
      <c r="Q512" s="17">
        <f>SUM(O512:P512)</f>
        <v>1237</v>
      </c>
      <c r="R512" s="16" t="e">
        <f>ROUND(SUM(N512:P512)*(R511-1),2)</f>
        <v>#N/A</v>
      </c>
      <c r="S512" s="42">
        <f>ROUND($B512*S$461*S511,2)</f>
        <v>0</v>
      </c>
      <c r="T512" s="42">
        <f>ROUND($B512*T$461,2)</f>
        <v>0</v>
      </c>
      <c r="U512" s="42">
        <f>ROUND($B512*U$461,2)</f>
        <v>0</v>
      </c>
      <c r="V512" s="41">
        <f>ROUND($B512*$V$456,2)</f>
        <v>0</v>
      </c>
      <c r="W512" s="42">
        <f>ROUND($B512*W$461,2)</f>
        <v>0</v>
      </c>
      <c r="X512" s="42">
        <f>ROUND($B512*X$461,2)</f>
        <v>0</v>
      </c>
      <c r="Y512" s="42">
        <f>ROUND($B512*Y$461,2)</f>
        <v>0</v>
      </c>
      <c r="Z512" s="42">
        <f>ROUND($B512*Z$461,2)</f>
        <v>0</v>
      </c>
      <c r="AA512" s="42">
        <f>ROUND($B512*AA$461,2)</f>
        <v>0</v>
      </c>
      <c r="AB512" s="19">
        <f>SUM(U$461:AA$461)+(-V$461+V472)</f>
        <v>-7.6160000000000012E-3</v>
      </c>
      <c r="AC512" s="94" t="str">
        <f>+F512</f>
        <v>SL0</v>
      </c>
    </row>
    <row r="513" spans="1:29" x14ac:dyDescent="0.2">
      <c r="A513" s="9"/>
      <c r="B513" s="97">
        <v>-1</v>
      </c>
      <c r="D513" s="87"/>
      <c r="E513" s="97"/>
      <c r="F513" s="36"/>
      <c r="G513" s="98"/>
      <c r="H513" s="19"/>
      <c r="J513" s="82"/>
      <c r="K513" s="42"/>
      <c r="O513" s="42"/>
      <c r="P513" s="42"/>
      <c r="Q513" s="42"/>
      <c r="R513" s="38" t="e">
        <f>INDEX('Pwr Factor'!$A$1:$B$52,MATCH((D514),'Pwr Factor'!$A$1:$A$52,0),2)</f>
        <v>#N/A</v>
      </c>
      <c r="S513" s="50">
        <v>0</v>
      </c>
      <c r="T513" s="42"/>
      <c r="U513" s="42"/>
      <c r="V513" s="41"/>
      <c r="W513" s="42"/>
      <c r="X513" s="42"/>
      <c r="Y513" s="42"/>
      <c r="Z513" s="42"/>
      <c r="AA513" s="42"/>
      <c r="AB513" s="19"/>
      <c r="AC513" s="94"/>
    </row>
    <row r="514" spans="1:29" x14ac:dyDescent="0.2">
      <c r="A514" s="1" t="s">
        <v>147</v>
      </c>
      <c r="B514" s="103">
        <f>IF(AND('AES Indiana Bill Calc.'!$D$17="SL",'AES Indiana Bill Calc.'!$D$18="No",'AES Indiana Bill Calc.'!$D$20="Yes 2020"),'AES Indiana Bill Calc.'!$D$19,-1)</f>
        <v>-1</v>
      </c>
      <c r="C514" s="103">
        <f>MAX(E514,$C$462)</f>
        <v>50</v>
      </c>
      <c r="D514" s="103" t="b">
        <f>IF(AND('AES Indiana Bill Calc.'!$D$17="SL",'AES Indiana Bill Calc.'!$D$18="No",'AES Indiana Bill Calc.'!$D$20="Yes 2020"),'AES Indiana Bill Calc.'!$D$22)</f>
        <v>0</v>
      </c>
      <c r="E514" s="103" t="b">
        <f>IF(AND('AES Indiana Bill Calc.'!$D$17="SL",'AES Indiana Bill Calc.'!$D$18="No",'AES Indiana Bill Calc.'!$D$20="Yes 2020"),'AES Indiana Bill Calc.'!$D$21)</f>
        <v>0</v>
      </c>
      <c r="F514" s="36" t="s">
        <v>205</v>
      </c>
      <c r="G514" s="17" t="e">
        <f>SUM(J514:M514,O514:P514,R514:AA514)</f>
        <v>#N/A</v>
      </c>
      <c r="H514" s="19" t="e">
        <f>IF(ISBLANK(B514),0,+#REF!/B514)</f>
        <v>#REF!</v>
      </c>
      <c r="J514" s="82">
        <f>IF(ISBLANK(B514),0,+J$461)</f>
        <v>120</v>
      </c>
      <c r="K514" s="42">
        <f>ROUND($B514*K$461,2)</f>
        <v>-0.04</v>
      </c>
      <c r="N514" s="18">
        <f>K514</f>
        <v>-0.04</v>
      </c>
      <c r="O514" s="17">
        <f>IF($C514&gt;M$462,ROUND(M$462*M$461,2),ROUND($C514*M$461,2))</f>
        <v>1237</v>
      </c>
      <c r="P514" s="17">
        <f>IF($C514&gt;M$462,ROUND(($C514-M$462)*O$461,2),0)</f>
        <v>0</v>
      </c>
      <c r="Q514" s="42">
        <f>SUM(O514:P514)</f>
        <v>1237</v>
      </c>
      <c r="R514" s="16" t="e">
        <f>ROUND(SUM(N514:P514)*(R513-1),2)</f>
        <v>#N/A</v>
      </c>
      <c r="S514" s="42">
        <f>ROUND($B514*S$461*S513,2)</f>
        <v>0</v>
      </c>
      <c r="T514" s="42">
        <f>ROUND($B514*T$461,2)</f>
        <v>0</v>
      </c>
      <c r="U514" s="42">
        <f>ROUND($B514*U$461,2)</f>
        <v>0</v>
      </c>
      <c r="V514" s="41">
        <f>ROUND($B514*$V$456,2)</f>
        <v>0</v>
      </c>
      <c r="W514" s="42">
        <f>ROUND($B514*W$461,2)</f>
        <v>0</v>
      </c>
      <c r="X514" s="42">
        <f>ROUND($B514*X$461,2)</f>
        <v>0</v>
      </c>
      <c r="Y514" s="42">
        <f>ROUND($B514*Y$461,2)</f>
        <v>0</v>
      </c>
      <c r="Z514" s="42">
        <f>ROUND($B514*Z$461,2)</f>
        <v>0</v>
      </c>
      <c r="AA514" s="42">
        <f>ROUND($B514*AA$461,2)</f>
        <v>0</v>
      </c>
      <c r="AB514" s="19">
        <f>SUM(U$461:AA$461)+(-V$461+V474)</f>
        <v>-7.6160000000000012E-3</v>
      </c>
      <c r="AC514" s="94" t="str">
        <f>+F514</f>
        <v>SL0</v>
      </c>
    </row>
    <row r="515" spans="1:29" x14ac:dyDescent="0.2">
      <c r="A515" s="53"/>
      <c r="B515" s="97">
        <v>-1</v>
      </c>
      <c r="D515" s="41"/>
      <c r="E515" s="80"/>
      <c r="F515" s="36"/>
      <c r="G515" s="98"/>
      <c r="H515" s="19"/>
      <c r="J515" s="82"/>
      <c r="K515" s="42"/>
      <c r="O515" s="42"/>
      <c r="P515" s="42"/>
      <c r="Q515" s="42"/>
      <c r="R515" s="38" t="e">
        <f>INDEX('Pwr Factor'!$A$1:$B$52,MATCH((D516),'Pwr Factor'!$A$1:$A$52,0),2)</f>
        <v>#N/A</v>
      </c>
      <c r="S515" s="50">
        <v>1</v>
      </c>
      <c r="T515" s="42"/>
      <c r="U515" s="42"/>
      <c r="V515" s="41"/>
      <c r="W515" s="42"/>
      <c r="X515" s="42"/>
      <c r="Y515" s="42"/>
      <c r="Z515" s="42"/>
      <c r="AA515" s="42"/>
      <c r="AB515" s="19"/>
      <c r="AC515" s="94"/>
    </row>
    <row r="516" spans="1:29" x14ac:dyDescent="0.2">
      <c r="A516" s="1" t="s">
        <v>148</v>
      </c>
      <c r="B516" s="103">
        <f>IF(AND('AES Indiana Bill Calc.'!$D$17="SL",'AES Indiana Bill Calc.'!$D$18="Yes 100%",'AES Indiana Bill Calc.'!$D$20="Yes 2021"),'AES Indiana Bill Calc.'!$D$19,-1)</f>
        <v>-1</v>
      </c>
      <c r="C516" s="103">
        <f>MAX(E516,$C$462)</f>
        <v>50</v>
      </c>
      <c r="D516" s="103" t="b">
        <f>IF(AND('AES Indiana Bill Calc.'!$D$17="SL",'AES Indiana Bill Calc.'!$D$18="Yes 100%",'AES Indiana Bill Calc.'!$D$20="Yes 2021"),'AES Indiana Bill Calc.'!$D$22)</f>
        <v>0</v>
      </c>
      <c r="E516" s="103" t="b">
        <f>IF(AND('AES Indiana Bill Calc.'!$D$17="SL",'AES Indiana Bill Calc.'!$D$18="Yes 100%",'AES Indiana Bill Calc.'!$D$20="Yes 2021"),'AES Indiana Bill Calc.'!$D$21)</f>
        <v>0</v>
      </c>
      <c r="F516" s="36" t="s">
        <v>206</v>
      </c>
      <c r="G516" s="17" t="e">
        <f>SUM(J516:M516,O516:P516,R516:AA516)</f>
        <v>#N/A</v>
      </c>
      <c r="H516" s="19" t="e">
        <f>IF(ISBLANK(B516),0,+#REF!/B516)</f>
        <v>#REF!</v>
      </c>
      <c r="J516" s="82">
        <f>IF(ISBLANK(B516),0,+J$461)</f>
        <v>120</v>
      </c>
      <c r="K516" s="42">
        <f>ROUND($B516*K$461,2)</f>
        <v>-0.04</v>
      </c>
      <c r="N516" s="18">
        <f>K516</f>
        <v>-0.04</v>
      </c>
      <c r="O516" s="17">
        <f>IF($C516&gt;M$462,ROUND(M$462*M$461,2),ROUND($C516*M$461,2))</f>
        <v>1237</v>
      </c>
      <c r="P516" s="17">
        <f>IF($C516&gt;M$462,ROUND(($C516-M$462)*O$461,2),0)</f>
        <v>0</v>
      </c>
      <c r="Q516" s="42">
        <f>SUM(O516:P516)</f>
        <v>1237</v>
      </c>
      <c r="R516" s="16" t="e">
        <f>ROUND(SUM(N516:P516)*(R515-1),2)</f>
        <v>#N/A</v>
      </c>
      <c r="S516" s="42">
        <f>ROUND($B516*S$461*S515,2)</f>
        <v>0</v>
      </c>
      <c r="T516" s="42">
        <f>ROUND($B516*T$461,2)</f>
        <v>0</v>
      </c>
      <c r="U516" s="42">
        <f>ROUND($B516*U$461,2)</f>
        <v>0</v>
      </c>
      <c r="V516" s="41">
        <f>ROUND($B516*$V$457,2)</f>
        <v>0</v>
      </c>
      <c r="W516" s="42">
        <f>ROUND($B516*W$461,2)</f>
        <v>0</v>
      </c>
      <c r="X516" s="42">
        <f>ROUND($B516*X$461,2)</f>
        <v>0</v>
      </c>
      <c r="Y516" s="42">
        <f>ROUND($B516*Y$461,2)</f>
        <v>0</v>
      </c>
      <c r="Z516" s="42">
        <f>ROUND($B516*Z$461,2)</f>
        <v>0</v>
      </c>
      <c r="AA516" s="42">
        <f>ROUND($B516*AA$461,2)</f>
        <v>0</v>
      </c>
      <c r="AB516" s="19" t="e">
        <f>SUM(U$461:AA$461)+(-V$461+#REF!)</f>
        <v>#REF!</v>
      </c>
      <c r="AC516" s="94" t="str">
        <f>+F516</f>
        <v>SL1</v>
      </c>
    </row>
    <row r="517" spans="1:29" x14ac:dyDescent="0.2">
      <c r="A517" s="9"/>
      <c r="B517" s="97">
        <v>-1</v>
      </c>
      <c r="D517" s="87"/>
      <c r="E517" s="97"/>
      <c r="F517" s="36"/>
      <c r="G517" s="98"/>
      <c r="H517" s="19"/>
      <c r="J517" s="82"/>
      <c r="K517" s="42"/>
      <c r="O517" s="42"/>
      <c r="P517" s="42"/>
      <c r="Q517" s="42"/>
      <c r="R517" s="38" t="e">
        <f>INDEX('Pwr Factor'!$A$1:$B$52,MATCH((D518),'Pwr Factor'!$A$1:$A$52,0),2)</f>
        <v>#N/A</v>
      </c>
      <c r="S517" s="50">
        <v>0.5</v>
      </c>
      <c r="T517" s="42"/>
      <c r="U517" s="42"/>
      <c r="V517" s="41"/>
      <c r="W517" s="42"/>
      <c r="X517" s="42"/>
      <c r="Y517" s="42"/>
      <c r="Z517" s="42"/>
      <c r="AA517" s="42"/>
      <c r="AB517" s="19"/>
      <c r="AC517" s="94"/>
    </row>
    <row r="518" spans="1:29" x14ac:dyDescent="0.2">
      <c r="A518" s="1" t="s">
        <v>149</v>
      </c>
      <c r="B518" s="103">
        <f>IF(AND('AES Indiana Bill Calc.'!$D$17="SL",'AES Indiana Bill Calc.'!$D$18="Yes 50%",'AES Indiana Bill Calc.'!$D$20="Yes 2021"),'AES Indiana Bill Calc.'!$D$19,-1)</f>
        <v>-1</v>
      </c>
      <c r="C518" s="103">
        <f>MAX(E518,$C$462)</f>
        <v>50</v>
      </c>
      <c r="D518" s="103" t="b">
        <f>IF(AND('AES Indiana Bill Calc.'!$D$17="SL",'AES Indiana Bill Calc.'!$D$18="Yes 50%",'AES Indiana Bill Calc.'!$D$20="Yes 2021"),'AES Indiana Bill Calc.'!$D$22)</f>
        <v>0</v>
      </c>
      <c r="E518" s="103" t="b">
        <f>IF(AND('AES Indiana Bill Calc.'!$D$17="SL",'AES Indiana Bill Calc.'!$D$18="Yes 50%",'AES Indiana Bill Calc.'!$D$20="Yes 2021"),'AES Indiana Bill Calc.'!$D$21)</f>
        <v>0</v>
      </c>
      <c r="F518" s="36" t="s">
        <v>206</v>
      </c>
      <c r="G518" s="17" t="e">
        <f>SUM(J518:M518,O518:P518,R518:AA518)</f>
        <v>#N/A</v>
      </c>
      <c r="H518" s="19" t="e">
        <f>IF(ISBLANK(B518),0,+#REF!/B518)</f>
        <v>#REF!</v>
      </c>
      <c r="J518" s="82">
        <f>IF(ISBLANK(B518),0,+J$461)</f>
        <v>120</v>
      </c>
      <c r="K518" s="42">
        <f>ROUND($B518*K$461,2)</f>
        <v>-0.04</v>
      </c>
      <c r="N518" s="18">
        <f>K518</f>
        <v>-0.04</v>
      </c>
      <c r="O518" s="17">
        <f>IF($C518&gt;M$462,ROUND(M$462*M$461,2),ROUND($C518*M$461,2))</f>
        <v>1237</v>
      </c>
      <c r="P518" s="17">
        <f>IF($C518&gt;M$462,ROUND(($C518-M$462)*O$461,2),0)</f>
        <v>0</v>
      </c>
      <c r="Q518" s="42">
        <f>SUM(O518:P518)</f>
        <v>1237</v>
      </c>
      <c r="R518" s="16" t="e">
        <f>ROUND(SUM(N518:P518)*(R517-1),2)</f>
        <v>#N/A</v>
      </c>
      <c r="S518" s="42">
        <f>ROUND($B518*S$461*S517,2)</f>
        <v>0</v>
      </c>
      <c r="T518" s="42">
        <f>ROUND($B518*T$461,2)</f>
        <v>0</v>
      </c>
      <c r="U518" s="42">
        <f>ROUND($B518*U$461,2)</f>
        <v>0</v>
      </c>
      <c r="V518" s="41">
        <f>ROUND($B518*$V$457,2)</f>
        <v>0</v>
      </c>
      <c r="W518" s="42">
        <f>ROUND($B518*W$461,2)</f>
        <v>0</v>
      </c>
      <c r="X518" s="42">
        <f>ROUND($B518*X$461,2)</f>
        <v>0</v>
      </c>
      <c r="Y518" s="42">
        <f>ROUND($B518*Y$461,2)</f>
        <v>0</v>
      </c>
      <c r="Z518" s="42">
        <f>ROUND($B518*Z$461,2)</f>
        <v>0</v>
      </c>
      <c r="AA518" s="42">
        <f>ROUND($B518*AA$461,2)</f>
        <v>0</v>
      </c>
      <c r="AB518" s="19" t="e">
        <f>SUM(U$461:AA$461)+(-V$461+#REF!)</f>
        <v>#REF!</v>
      </c>
      <c r="AC518" s="94" t="str">
        <f>+F518</f>
        <v>SL1</v>
      </c>
    </row>
    <row r="519" spans="1:29" x14ac:dyDescent="0.2">
      <c r="A519" s="9"/>
      <c r="B519" s="97">
        <v>-1</v>
      </c>
      <c r="D519" s="87"/>
      <c r="E519" s="97"/>
      <c r="F519" s="36"/>
      <c r="G519" s="98"/>
      <c r="H519" s="19"/>
      <c r="J519" s="82"/>
      <c r="K519" s="42"/>
      <c r="O519" s="42"/>
      <c r="P519" s="42"/>
      <c r="Q519" s="42"/>
      <c r="R519" s="38" t="e">
        <f>INDEX('Pwr Factor'!$A$1:$B$52,MATCH((D520),'Pwr Factor'!$A$1:$A$52,0),2)</f>
        <v>#N/A</v>
      </c>
      <c r="S519" s="50">
        <v>0.25</v>
      </c>
      <c r="T519" s="42"/>
      <c r="U519" s="42"/>
      <c r="V519" s="41"/>
      <c r="W519" s="42"/>
      <c r="X519" s="42"/>
      <c r="Y519" s="42"/>
      <c r="Z519" s="42"/>
      <c r="AA519" s="42"/>
      <c r="AB519" s="19"/>
      <c r="AC519" s="94"/>
    </row>
    <row r="520" spans="1:29" x14ac:dyDescent="0.2">
      <c r="A520" s="1" t="s">
        <v>150</v>
      </c>
      <c r="B520" s="103">
        <f>IF(AND('AES Indiana Bill Calc.'!$D$17="SL",'AES Indiana Bill Calc.'!$D$18="Yes 25%",'AES Indiana Bill Calc.'!$D$20="Yes 2021"),'AES Indiana Bill Calc.'!$D$19,-1)</f>
        <v>-1</v>
      </c>
      <c r="C520" s="103">
        <f>MAX(E520,$C$462)</f>
        <v>50</v>
      </c>
      <c r="D520" s="103" t="b">
        <f>IF(AND('AES Indiana Bill Calc.'!$D$17="SL",'AES Indiana Bill Calc.'!$D$18="Yes 25%",'AES Indiana Bill Calc.'!$D$20="Yes 2021"),'AES Indiana Bill Calc.'!$D$22)</f>
        <v>0</v>
      </c>
      <c r="E520" s="103" t="b">
        <f>IF(AND('AES Indiana Bill Calc.'!$D$17="SL",'AES Indiana Bill Calc.'!$D$18="Yes 25%",'AES Indiana Bill Calc.'!$D$20="Yes 2021"),'AES Indiana Bill Calc.'!$D$21)</f>
        <v>0</v>
      </c>
      <c r="F520" s="36" t="s">
        <v>206</v>
      </c>
      <c r="G520" s="17" t="e">
        <f>SUM(J520:M520,O520:P520,R520:AA520)</f>
        <v>#N/A</v>
      </c>
      <c r="H520" s="19" t="e">
        <f>IF(ISBLANK(B520),0,+#REF!/B520)</f>
        <v>#REF!</v>
      </c>
      <c r="J520" s="82">
        <f>IF(ISBLANK(B520),0,+J$461)</f>
        <v>120</v>
      </c>
      <c r="K520" s="42">
        <f>ROUND($B520*K$461,2)</f>
        <v>-0.04</v>
      </c>
      <c r="N520" s="18">
        <f>K520</f>
        <v>-0.04</v>
      </c>
      <c r="O520" s="17">
        <f>IF($C520&gt;M$462,ROUND(M$462*M$461,2),ROUND($C520*M$461,2))</f>
        <v>1237</v>
      </c>
      <c r="P520" s="17">
        <f>IF($C520&gt;M$462,ROUND(($C520-M$462)*O$461,2),0)</f>
        <v>0</v>
      </c>
      <c r="Q520" s="42">
        <f>SUM(O520:P520)</f>
        <v>1237</v>
      </c>
      <c r="R520" s="16" t="e">
        <f>ROUND(SUM(N520:P520)*(R519-1),2)</f>
        <v>#N/A</v>
      </c>
      <c r="S520" s="42">
        <f>ROUND($B520*S$461*S519,2)</f>
        <v>0</v>
      </c>
      <c r="T520" s="42">
        <f>ROUND($B520*T$461,2)</f>
        <v>0</v>
      </c>
      <c r="U520" s="42">
        <f>ROUND($B520*U$461,2)</f>
        <v>0</v>
      </c>
      <c r="V520" s="41">
        <f>ROUND($B520*$V$457,2)</f>
        <v>0</v>
      </c>
      <c r="W520" s="42">
        <f>ROUND($B520*W$461,2)</f>
        <v>0</v>
      </c>
      <c r="X520" s="42">
        <f>ROUND($B520*X$461,2)</f>
        <v>0</v>
      </c>
      <c r="Y520" s="42">
        <f>ROUND($B520*Y$461,2)</f>
        <v>0</v>
      </c>
      <c r="Z520" s="42">
        <f>ROUND($B520*Z$461,2)</f>
        <v>0</v>
      </c>
      <c r="AA520" s="42">
        <f>ROUND($B520*AA$461,2)</f>
        <v>0</v>
      </c>
      <c r="AB520" s="19" t="e">
        <f>SUM(U$461:AA$461)+(-V$461+#REF!)</f>
        <v>#REF!</v>
      </c>
      <c r="AC520" s="94" t="str">
        <f>+F520</f>
        <v>SL1</v>
      </c>
    </row>
    <row r="521" spans="1:29" x14ac:dyDescent="0.2">
      <c r="A521" s="9"/>
      <c r="B521" s="97">
        <v>-1</v>
      </c>
      <c r="D521" s="87"/>
      <c r="E521" s="97"/>
      <c r="F521" s="36"/>
      <c r="G521" s="98"/>
      <c r="H521" s="19"/>
      <c r="J521" s="82"/>
      <c r="K521" s="42"/>
      <c r="O521" s="42"/>
      <c r="P521" s="42"/>
      <c r="Q521" s="42"/>
      <c r="R521" s="38" t="e">
        <f>INDEX('Pwr Factor'!$A$1:$B$52,MATCH((D522),'Pwr Factor'!$A$1:$A$52,0),2)</f>
        <v>#N/A</v>
      </c>
      <c r="S521" s="50">
        <v>0.1</v>
      </c>
      <c r="T521" s="42"/>
      <c r="U521" s="42"/>
      <c r="V521" s="41"/>
      <c r="W521" s="42"/>
      <c r="X521" s="42"/>
      <c r="Y521" s="42"/>
      <c r="Z521" s="42"/>
      <c r="AA521" s="42"/>
      <c r="AB521" s="19"/>
      <c r="AC521" s="94"/>
    </row>
    <row r="522" spans="1:29" x14ac:dyDescent="0.2">
      <c r="A522" s="1" t="s">
        <v>164</v>
      </c>
      <c r="B522" s="103">
        <f>IF(AND('AES Indiana Bill Calc.'!$D$17="SL",'AES Indiana Bill Calc.'!$D$18="Yes 10%",'AES Indiana Bill Calc.'!$D$20="Yes 2021"),'AES Indiana Bill Calc.'!$D$19,-1)</f>
        <v>-1</v>
      </c>
      <c r="C522" s="103">
        <f>MAX(E522,$C$462)</f>
        <v>50</v>
      </c>
      <c r="D522" s="103" t="b">
        <f>IF(AND('AES Indiana Bill Calc.'!$D$17="SL",'AES Indiana Bill Calc.'!$D$18="Yes 10%",'AES Indiana Bill Calc.'!$D$20="Yes 2021"),'AES Indiana Bill Calc.'!$D$22)</f>
        <v>0</v>
      </c>
      <c r="E522" s="103" t="b">
        <f>IF(AND('AES Indiana Bill Calc.'!$D$17="SL",'AES Indiana Bill Calc.'!$D$18="Yes 10%",'AES Indiana Bill Calc.'!$D$20="Yes 2021"),'AES Indiana Bill Calc.'!$D$21)</f>
        <v>0</v>
      </c>
      <c r="F522" s="36" t="s">
        <v>206</v>
      </c>
      <c r="G522" s="17" t="e">
        <f>SUM(J522:M522,O522:P522,R522:AA522)</f>
        <v>#N/A</v>
      </c>
      <c r="H522" s="19" t="e">
        <f>IF(ISBLANK(B522),0,+#REF!/B522)</f>
        <v>#REF!</v>
      </c>
      <c r="J522" s="82">
        <f>IF(ISBLANK(B522),0,+J$461)</f>
        <v>120</v>
      </c>
      <c r="K522" s="42">
        <f>ROUND($B522*K$461,2)</f>
        <v>-0.04</v>
      </c>
      <c r="N522" s="18">
        <f>K522</f>
        <v>-0.04</v>
      </c>
      <c r="O522" s="17">
        <f>IF($C522&gt;M$462,ROUND(M$462*M$461,2),ROUND($C522*M$461,2))</f>
        <v>1237</v>
      </c>
      <c r="P522" s="17">
        <f>IF($C522&gt;M$462,ROUND(($C522-M$462)*O$461,2),0)</f>
        <v>0</v>
      </c>
      <c r="Q522" s="42">
        <f>SUM(O522:P522)</f>
        <v>1237</v>
      </c>
      <c r="R522" s="16" t="e">
        <f>ROUND(SUM(N522:P522)*(R521-1),2)</f>
        <v>#N/A</v>
      </c>
      <c r="S522" s="42">
        <f>ROUND($B522*S$461*S521,2)</f>
        <v>0</v>
      </c>
      <c r="T522" s="42">
        <f>ROUND($B522*T$461,2)</f>
        <v>0</v>
      </c>
      <c r="U522" s="42">
        <f>ROUND($B522*U$461,2)</f>
        <v>0</v>
      </c>
      <c r="V522" s="41">
        <f>ROUND($B522*$V$457,2)</f>
        <v>0</v>
      </c>
      <c r="W522" s="42">
        <f>ROUND($B522*W$461,2)</f>
        <v>0</v>
      </c>
      <c r="X522" s="42">
        <f>ROUND($B522*X$461,2)</f>
        <v>0</v>
      </c>
      <c r="Y522" s="42">
        <f>ROUND($B522*Y$461,2)</f>
        <v>0</v>
      </c>
      <c r="Z522" s="42">
        <f>ROUND($B522*Z$461,2)</f>
        <v>0</v>
      </c>
      <c r="AA522" s="42">
        <f>ROUND($B522*AA$461,2)</f>
        <v>0</v>
      </c>
      <c r="AB522" s="19" t="e">
        <f>SUM(U$461:AA$461)+(-V$461+#REF!)</f>
        <v>#REF!</v>
      </c>
      <c r="AC522" s="94" t="str">
        <f>+F522</f>
        <v>SL1</v>
      </c>
    </row>
    <row r="523" spans="1:29" x14ac:dyDescent="0.2">
      <c r="A523" s="9"/>
      <c r="B523" s="97">
        <v>-1</v>
      </c>
      <c r="D523" s="87"/>
      <c r="E523" s="97"/>
      <c r="F523" s="36"/>
      <c r="G523" s="98"/>
      <c r="H523" s="19"/>
      <c r="J523" s="82"/>
      <c r="K523" s="42"/>
      <c r="O523" s="42"/>
      <c r="P523" s="42"/>
      <c r="Q523" s="42"/>
      <c r="R523" s="38" t="e">
        <f>INDEX('Pwr Factor'!$A$1:$B$52,MATCH((D524),'Pwr Factor'!$A$1:$A$52,0),2)</f>
        <v>#N/A</v>
      </c>
      <c r="S523" s="50">
        <v>0</v>
      </c>
      <c r="T523" s="42"/>
      <c r="U523" s="42"/>
      <c r="V523" s="41"/>
      <c r="W523" s="42"/>
      <c r="X523" s="42"/>
      <c r="Y523" s="42"/>
      <c r="Z523" s="42"/>
      <c r="AA523" s="42"/>
      <c r="AB523" s="19"/>
      <c r="AC523" s="94"/>
    </row>
    <row r="524" spans="1:29" x14ac:dyDescent="0.2">
      <c r="A524" s="1" t="s">
        <v>147</v>
      </c>
      <c r="B524" s="103">
        <f>IF(AND('AES Indiana Bill Calc.'!$D$17="SL",'AES Indiana Bill Calc.'!$D$18="No",'AES Indiana Bill Calc.'!$D$20="Yes 2021"),'AES Indiana Bill Calc.'!$D$19,-1)</f>
        <v>-1</v>
      </c>
      <c r="C524" s="103">
        <f>MAX(E524,$C$462)</f>
        <v>50</v>
      </c>
      <c r="D524" s="103" t="b">
        <f>IF(AND('AES Indiana Bill Calc.'!$D$17="SL",'AES Indiana Bill Calc.'!$D$18="No",'AES Indiana Bill Calc.'!$D$20="Yes 2021"),'AES Indiana Bill Calc.'!$D$22)</f>
        <v>0</v>
      </c>
      <c r="E524" s="103" t="b">
        <f>IF(AND('AES Indiana Bill Calc.'!$D$17="SL",'AES Indiana Bill Calc.'!$D$18="No",'AES Indiana Bill Calc.'!$D$20="Yes 2021"),'AES Indiana Bill Calc.'!$D$21)</f>
        <v>0</v>
      </c>
      <c r="F524" s="36" t="s">
        <v>206</v>
      </c>
      <c r="G524" s="17" t="e">
        <f>SUM(J524:M524,O524:P524,R524:AA524)</f>
        <v>#N/A</v>
      </c>
      <c r="H524" s="19" t="e">
        <f>IF(ISBLANK(B524),0,+#REF!/B524)</f>
        <v>#REF!</v>
      </c>
      <c r="J524" s="82">
        <f>IF(ISBLANK(B524),0,+J$461)</f>
        <v>120</v>
      </c>
      <c r="K524" s="42">
        <f>ROUND($B524*K$461,2)</f>
        <v>-0.04</v>
      </c>
      <c r="N524" s="18">
        <f>K524</f>
        <v>-0.04</v>
      </c>
      <c r="O524" s="17">
        <f>IF($C524&gt;M$462,ROUND(M$462*M$461,2),ROUND($C524*M$461,2))</f>
        <v>1237</v>
      </c>
      <c r="P524" s="17">
        <f>IF($C524&gt;M$462,ROUND(($C524-M$462)*O$461,2),0)</f>
        <v>0</v>
      </c>
      <c r="Q524" s="17">
        <f>SUM(O524:P524)</f>
        <v>1237</v>
      </c>
      <c r="R524" s="16" t="e">
        <f>ROUND(SUM(N524:P524)*(R523-1),2)</f>
        <v>#N/A</v>
      </c>
      <c r="S524" s="42">
        <f>ROUND($B524*S$461*S523,2)</f>
        <v>0</v>
      </c>
      <c r="T524" s="42">
        <f>ROUND($B524*T$461,2)</f>
        <v>0</v>
      </c>
      <c r="U524" s="42">
        <f>ROUND($B524*U$461,2)</f>
        <v>0</v>
      </c>
      <c r="V524" s="41">
        <f>ROUND($B524*$V$457,2)</f>
        <v>0</v>
      </c>
      <c r="W524" s="42">
        <f>ROUND($B524*W$461,2)</f>
        <v>0</v>
      </c>
      <c r="X524" s="42">
        <f>ROUND($B524*X$461,2)</f>
        <v>0</v>
      </c>
      <c r="Y524" s="42">
        <f>ROUND($B524*Y$461,2)</f>
        <v>0</v>
      </c>
      <c r="Z524" s="42">
        <f>ROUND($B524*Z$461,2)</f>
        <v>0</v>
      </c>
      <c r="AA524" s="42">
        <f>ROUND($B524*AA$461,2)</f>
        <v>0</v>
      </c>
      <c r="AB524" s="19" t="e">
        <f>SUM(U$461:AA$461)+(-V$461+#REF!)</f>
        <v>#REF!</v>
      </c>
      <c r="AC524" s="94" t="str">
        <f>+F524</f>
        <v>SL1</v>
      </c>
    </row>
    <row r="525" spans="1:29" x14ac:dyDescent="0.2">
      <c r="A525" s="53"/>
      <c r="B525" s="97">
        <v>-1</v>
      </c>
      <c r="D525" s="41"/>
      <c r="E525" s="80"/>
      <c r="F525" s="36"/>
      <c r="G525" s="98"/>
      <c r="H525" s="19"/>
      <c r="J525" s="82"/>
      <c r="K525" s="42"/>
      <c r="O525" s="42"/>
      <c r="P525" s="42"/>
      <c r="Q525" s="42"/>
      <c r="R525" s="38" t="e">
        <f>INDEX('Pwr Factor'!$A$1:$B$52,MATCH((D526),'Pwr Factor'!$A$1:$A$52,0),2)</f>
        <v>#N/A</v>
      </c>
      <c r="S525" s="50">
        <v>1</v>
      </c>
      <c r="T525" s="42"/>
      <c r="U525" s="42"/>
      <c r="V525" s="41"/>
      <c r="W525" s="42"/>
      <c r="X525" s="42"/>
      <c r="Y525" s="42"/>
      <c r="Z525" s="42"/>
      <c r="AA525" s="42"/>
      <c r="AB525" s="19"/>
      <c r="AC525" s="94"/>
    </row>
    <row r="526" spans="1:29" x14ac:dyDescent="0.2">
      <c r="A526" s="1" t="s">
        <v>148</v>
      </c>
      <c r="B526" s="103">
        <f>IF(AND('AES Indiana Bill Calc.'!$D$17="SL",'AES Indiana Bill Calc.'!$D$18="Yes 100%",'AES Indiana Bill Calc.'!$D$20="Yes 2022"),'AES Indiana Bill Calc.'!$D$19,-1)</f>
        <v>-1</v>
      </c>
      <c r="C526" s="103">
        <f>MAX(E526,$C$462)</f>
        <v>50</v>
      </c>
      <c r="D526" s="103" t="b">
        <f>IF(AND('AES Indiana Bill Calc.'!$D$17="SL",'AES Indiana Bill Calc.'!$D$18="Yes 100%",'AES Indiana Bill Calc.'!$D$20="Yes 2022"),'AES Indiana Bill Calc.'!$D$22)</f>
        <v>0</v>
      </c>
      <c r="E526" s="103" t="b">
        <f>IF(AND('AES Indiana Bill Calc.'!$D$17="SL",'AES Indiana Bill Calc.'!$D$18="Yes 100%",'AES Indiana Bill Calc.'!$D$20="Yes 2022"),'AES Indiana Bill Calc.'!$D$21)</f>
        <v>0</v>
      </c>
      <c r="F526" s="36" t="s">
        <v>207</v>
      </c>
      <c r="G526" s="17" t="e">
        <f>SUM(J526:M526,O526:P526,R526:AA526)</f>
        <v>#N/A</v>
      </c>
      <c r="H526" s="19" t="e">
        <f>IF(ISBLANK(B526),0,+#REF!/B526)</f>
        <v>#REF!</v>
      </c>
      <c r="J526" s="82">
        <f>IF(ISBLANK(B526),0,+J$461)</f>
        <v>120</v>
      </c>
      <c r="K526" s="42">
        <f>ROUND($B526*K$461,2)</f>
        <v>-0.04</v>
      </c>
      <c r="N526" s="18">
        <f>K526</f>
        <v>-0.04</v>
      </c>
      <c r="O526" s="17">
        <f>IF($C526&gt;M$462,ROUND(M$462*M$461,2),ROUND($C526*M$461,2))</f>
        <v>1237</v>
      </c>
      <c r="P526" s="17">
        <f>IF($C526&gt;M$462,ROUND(($C526-M$462)*O$461,2),0)</f>
        <v>0</v>
      </c>
      <c r="Q526" s="42">
        <f>SUM(O526:P526)</f>
        <v>1237</v>
      </c>
      <c r="R526" s="16" t="e">
        <f>ROUND(SUM(N526:P526)*(R525-1),2)</f>
        <v>#N/A</v>
      </c>
      <c r="S526" s="42">
        <f>ROUND($B526*S$461*S525,2)</f>
        <v>0</v>
      </c>
      <c r="T526" s="42">
        <f>ROUND($B526*T$461,2)</f>
        <v>0</v>
      </c>
      <c r="U526" s="42">
        <f>ROUND($B526*U$461,2)</f>
        <v>0</v>
      </c>
      <c r="V526" s="41">
        <f>ROUND($B526*$V$458,2)</f>
        <v>0</v>
      </c>
      <c r="W526" s="42">
        <f>ROUND($B526*W$461,2)</f>
        <v>0</v>
      </c>
      <c r="X526" s="42">
        <f>ROUND($B526*X$461,2)</f>
        <v>0</v>
      </c>
      <c r="Y526" s="42">
        <f>ROUND($B526*Y$461,2)</f>
        <v>0</v>
      </c>
      <c r="Z526" s="42">
        <f>ROUND($B526*Z$461,2)</f>
        <v>0</v>
      </c>
      <c r="AA526" s="42">
        <f>ROUND($B526*AA$461,2)</f>
        <v>0</v>
      </c>
      <c r="AB526" s="19" t="e">
        <f>SUM(U$461:AA$461)+(-V$461+#REF!)</f>
        <v>#REF!</v>
      </c>
      <c r="AC526" s="94" t="str">
        <f>+F526</f>
        <v>SL2</v>
      </c>
    </row>
    <row r="527" spans="1:29" x14ac:dyDescent="0.2">
      <c r="A527" s="9"/>
      <c r="B527" s="97">
        <v>-1</v>
      </c>
      <c r="D527" s="41"/>
      <c r="E527" s="80"/>
      <c r="F527" s="36"/>
      <c r="G527" s="98"/>
      <c r="H527" s="19"/>
      <c r="J527" s="82"/>
      <c r="K527" s="42"/>
      <c r="O527" s="42"/>
      <c r="P527" s="42"/>
      <c r="Q527" s="42"/>
      <c r="R527" s="38" t="e">
        <f>INDEX('Pwr Factor'!$A$1:$B$52,MATCH((D528),'Pwr Factor'!$A$1:$A$52,0),2)</f>
        <v>#N/A</v>
      </c>
      <c r="S527" s="50">
        <v>0.5</v>
      </c>
      <c r="T527" s="42"/>
      <c r="U527" s="42"/>
      <c r="V527" s="41"/>
      <c r="W527" s="42"/>
      <c r="X527" s="42"/>
      <c r="Y527" s="42"/>
      <c r="Z527" s="42"/>
      <c r="AA527" s="42"/>
      <c r="AB527" s="19"/>
      <c r="AC527" s="94"/>
    </row>
    <row r="528" spans="1:29" x14ac:dyDescent="0.2">
      <c r="A528" s="1" t="s">
        <v>149</v>
      </c>
      <c r="B528" s="103">
        <f>IF(AND('AES Indiana Bill Calc.'!$D$17="SL",'AES Indiana Bill Calc.'!$D$18="Yes 50%",'AES Indiana Bill Calc.'!$D$20="Yes 2022"),'AES Indiana Bill Calc.'!$D$19,-1)</f>
        <v>-1</v>
      </c>
      <c r="C528" s="103">
        <f>MAX(E528,$C$462)</f>
        <v>50</v>
      </c>
      <c r="D528" s="103" t="b">
        <f>IF(AND('AES Indiana Bill Calc.'!$D$17="SL",'AES Indiana Bill Calc.'!$D$18="Yes 50%",'AES Indiana Bill Calc.'!$D$20="Yes 2022"),'AES Indiana Bill Calc.'!$D$22)</f>
        <v>0</v>
      </c>
      <c r="E528" s="103" t="b">
        <f>IF(AND('AES Indiana Bill Calc.'!$D$17="SL",'AES Indiana Bill Calc.'!$D$18="Yes 50%",'AES Indiana Bill Calc.'!$D$20="Yes 2022"),'AES Indiana Bill Calc.'!$D$21)</f>
        <v>0</v>
      </c>
      <c r="F528" s="36" t="s">
        <v>207</v>
      </c>
      <c r="G528" s="17" t="e">
        <f>SUM(J528:M528,O528:P528,R528:AA528)</f>
        <v>#N/A</v>
      </c>
      <c r="H528" s="19" t="e">
        <f>IF(ISBLANK(B528),0,+#REF!/B528)</f>
        <v>#REF!</v>
      </c>
      <c r="J528" s="82">
        <f>IF(ISBLANK(B528),0,+J$461)</f>
        <v>120</v>
      </c>
      <c r="K528" s="42">
        <f>ROUND($B528*K$461,2)</f>
        <v>-0.04</v>
      </c>
      <c r="N528" s="18">
        <f>K528</f>
        <v>-0.04</v>
      </c>
      <c r="O528" s="17">
        <f>IF($C528&gt;M$462,ROUND(M$462*M$461,2),ROUND($C528*M$461,2))</f>
        <v>1237</v>
      </c>
      <c r="P528" s="17">
        <f>IF($C528&gt;M$462,ROUND(($C528-M$462)*O$461,2),0)</f>
        <v>0</v>
      </c>
      <c r="Q528" s="42">
        <f>SUM(O528:P528)</f>
        <v>1237</v>
      </c>
      <c r="R528" s="16" t="e">
        <f>ROUND(SUM(N528:P528)*(R527-1),2)</f>
        <v>#N/A</v>
      </c>
      <c r="S528" s="42">
        <f>ROUND($B528*S$461*S527,2)</f>
        <v>0</v>
      </c>
      <c r="T528" s="42">
        <f>ROUND($B528*T$461,2)</f>
        <v>0</v>
      </c>
      <c r="U528" s="42">
        <f>ROUND($B528*U$461,2)</f>
        <v>0</v>
      </c>
      <c r="V528" s="41">
        <f>ROUND($B528*$V$458,2)</f>
        <v>0</v>
      </c>
      <c r="W528" s="42">
        <f>ROUND($B528*W$461,2)</f>
        <v>0</v>
      </c>
      <c r="X528" s="42">
        <f>ROUND($B528*X$461,2)</f>
        <v>0</v>
      </c>
      <c r="Y528" s="42">
        <f>ROUND($B528*Y$461,2)</f>
        <v>0</v>
      </c>
      <c r="Z528" s="42">
        <f>ROUND($B528*Z$461,2)</f>
        <v>0</v>
      </c>
      <c r="AA528" s="42">
        <f>ROUND($B528*AA$461,2)</f>
        <v>0</v>
      </c>
      <c r="AB528" s="19" t="e">
        <f>SUM(U$461:AA$461)+(-V$461+#REF!)</f>
        <v>#REF!</v>
      </c>
      <c r="AC528" s="94" t="str">
        <f>+F528</f>
        <v>SL2</v>
      </c>
    </row>
    <row r="529" spans="1:29" x14ac:dyDescent="0.2">
      <c r="A529" s="9"/>
      <c r="B529" s="97">
        <v>-1</v>
      </c>
      <c r="D529" s="41"/>
      <c r="E529" s="80"/>
      <c r="F529" s="36"/>
      <c r="G529" s="98"/>
      <c r="H529" s="19"/>
      <c r="J529" s="82"/>
      <c r="K529" s="42"/>
      <c r="O529" s="42"/>
      <c r="P529" s="42"/>
      <c r="Q529" s="42"/>
      <c r="R529" s="38" t="e">
        <f>INDEX('Pwr Factor'!$A$1:$B$52,MATCH((D530),'Pwr Factor'!$A$1:$A$52,0),2)</f>
        <v>#N/A</v>
      </c>
      <c r="S529" s="50">
        <v>0.25</v>
      </c>
      <c r="T529" s="42"/>
      <c r="U529" s="42"/>
      <c r="V529" s="41"/>
      <c r="W529" s="42"/>
      <c r="X529" s="42"/>
      <c r="Y529" s="42"/>
      <c r="Z529" s="42"/>
      <c r="AA529" s="42"/>
      <c r="AB529" s="19"/>
      <c r="AC529" s="94"/>
    </row>
    <row r="530" spans="1:29" x14ac:dyDescent="0.2">
      <c r="A530" s="1" t="s">
        <v>150</v>
      </c>
      <c r="B530" s="103">
        <f>IF(AND('AES Indiana Bill Calc.'!$D$17="SL",'AES Indiana Bill Calc.'!$D$18="Yes 25%",'AES Indiana Bill Calc.'!$D$20="Yes 2022"),'AES Indiana Bill Calc.'!$D$19,-1)</f>
        <v>-1</v>
      </c>
      <c r="C530" s="103">
        <f>MAX(E530,$C$462)</f>
        <v>50</v>
      </c>
      <c r="D530" s="103" t="b">
        <f>IF(AND('AES Indiana Bill Calc.'!$D$17="SL",'AES Indiana Bill Calc.'!$D$18="Yes 25%",'AES Indiana Bill Calc.'!$D$20="Yes 2022"),'AES Indiana Bill Calc.'!$D$22)</f>
        <v>0</v>
      </c>
      <c r="E530" s="103" t="b">
        <f>IF(AND('AES Indiana Bill Calc.'!$D$17="SL",'AES Indiana Bill Calc.'!$D$18="Yes 25%",'AES Indiana Bill Calc.'!$D$20="Yes 2022"),'AES Indiana Bill Calc.'!$D$21)</f>
        <v>0</v>
      </c>
      <c r="F530" s="36" t="s">
        <v>207</v>
      </c>
      <c r="G530" s="17" t="e">
        <f>SUM(J530:M530,O530:P530,R530:AA530)</f>
        <v>#N/A</v>
      </c>
      <c r="H530" s="19" t="e">
        <f>IF(ISBLANK(B530),0,+#REF!/B530)</f>
        <v>#REF!</v>
      </c>
      <c r="J530" s="82">
        <f>IF(ISBLANK(B530),0,+J$461)</f>
        <v>120</v>
      </c>
      <c r="K530" s="42">
        <f>ROUND($B530*K$461,2)</f>
        <v>-0.04</v>
      </c>
      <c r="N530" s="18">
        <f>K530</f>
        <v>-0.04</v>
      </c>
      <c r="O530" s="17">
        <f>IF($C530&gt;M$462,ROUND(M$462*M$461,2),ROUND($C530*M$461,2))</f>
        <v>1237</v>
      </c>
      <c r="P530" s="17">
        <f>IF($C530&gt;M$462,ROUND(($C530-M$462)*O$461,2),0)</f>
        <v>0</v>
      </c>
      <c r="Q530" s="42">
        <f>SUM(O530:P530)</f>
        <v>1237</v>
      </c>
      <c r="R530" s="16" t="e">
        <f>ROUND(SUM(N530:P530)*(R529-1),2)</f>
        <v>#N/A</v>
      </c>
      <c r="S530" s="42">
        <f>ROUND($B530*S$461*S529,2)</f>
        <v>0</v>
      </c>
      <c r="T530" s="42">
        <f>ROUND($B530*T$461,2)</f>
        <v>0</v>
      </c>
      <c r="U530" s="42">
        <f>ROUND($B530*U$461,2)</f>
        <v>0</v>
      </c>
      <c r="V530" s="41">
        <f>ROUND($B530*$V$458,2)</f>
        <v>0</v>
      </c>
      <c r="W530" s="42">
        <f>ROUND($B530*W$461,2)</f>
        <v>0</v>
      </c>
      <c r="X530" s="42">
        <f>ROUND($B530*X$461,2)</f>
        <v>0</v>
      </c>
      <c r="Y530" s="42">
        <f>ROUND($B530*Y$461,2)</f>
        <v>0</v>
      </c>
      <c r="Z530" s="42">
        <f>ROUND($B530*Z$461,2)</f>
        <v>0</v>
      </c>
      <c r="AA530" s="42">
        <f>ROUND($B530*AA$461,2)</f>
        <v>0</v>
      </c>
      <c r="AB530" s="19" t="e">
        <f>SUM(U$461:AA$461)+(-V$461+#REF!)</f>
        <v>#REF!</v>
      </c>
      <c r="AC530" s="94" t="str">
        <f>+F530</f>
        <v>SL2</v>
      </c>
    </row>
    <row r="531" spans="1:29" x14ac:dyDescent="0.2">
      <c r="A531" s="9"/>
      <c r="B531" s="97">
        <v>-1</v>
      </c>
      <c r="D531" s="41"/>
      <c r="E531" s="80"/>
      <c r="F531" s="36"/>
      <c r="G531" s="98"/>
      <c r="H531" s="19"/>
      <c r="J531" s="82"/>
      <c r="K531" s="42"/>
      <c r="O531" s="42"/>
      <c r="P531" s="42"/>
      <c r="Q531" s="42"/>
      <c r="R531" s="38" t="e">
        <f>INDEX('Pwr Factor'!$A$1:$B$52,MATCH((D532),'Pwr Factor'!$A$1:$A$52,0),2)</f>
        <v>#N/A</v>
      </c>
      <c r="S531" s="50">
        <v>0.1</v>
      </c>
      <c r="T531" s="42"/>
      <c r="U531" s="42"/>
      <c r="V531" s="41"/>
      <c r="W531" s="42"/>
      <c r="X531" s="42"/>
      <c r="Y531" s="42"/>
      <c r="Z531" s="42"/>
      <c r="AA531" s="42"/>
      <c r="AB531" s="19"/>
      <c r="AC531" s="94"/>
    </row>
    <row r="532" spans="1:29" x14ac:dyDescent="0.2">
      <c r="A532" s="1" t="s">
        <v>164</v>
      </c>
      <c r="B532" s="103">
        <f>IF(AND('AES Indiana Bill Calc.'!$D$17="SL",'AES Indiana Bill Calc.'!$D$18="Yes 10%",'AES Indiana Bill Calc.'!$D$20="Yes 2022"),'AES Indiana Bill Calc.'!$D$19,-1)</f>
        <v>-1</v>
      </c>
      <c r="C532" s="103">
        <f>MAX(E532,$C$462)</f>
        <v>50</v>
      </c>
      <c r="D532" s="103" t="b">
        <f>IF(AND('AES Indiana Bill Calc.'!$D$17="SL",'AES Indiana Bill Calc.'!$D$18="Yes 10%",'AES Indiana Bill Calc.'!$D$20="Yes 2022"),'AES Indiana Bill Calc.'!$D$22)</f>
        <v>0</v>
      </c>
      <c r="E532" s="103" t="b">
        <f>IF(AND('AES Indiana Bill Calc.'!$D$17="SL",'AES Indiana Bill Calc.'!$D$18="Yes 10%",'AES Indiana Bill Calc.'!$D$20="Yes 2022"),'AES Indiana Bill Calc.'!$D$21)</f>
        <v>0</v>
      </c>
      <c r="F532" s="36" t="s">
        <v>207</v>
      </c>
      <c r="G532" s="17" t="e">
        <f>SUM(J532:M532,O532:P532,R532:AA532)</f>
        <v>#N/A</v>
      </c>
      <c r="H532" s="19" t="e">
        <f>IF(ISBLANK(B532),0,+#REF!/B532)</f>
        <v>#REF!</v>
      </c>
      <c r="J532" s="82">
        <f>IF(ISBLANK(B532),0,+J$461)</f>
        <v>120</v>
      </c>
      <c r="K532" s="42">
        <f>ROUND($B532*K$461,2)</f>
        <v>-0.04</v>
      </c>
      <c r="N532" s="18">
        <f>K532</f>
        <v>-0.04</v>
      </c>
      <c r="O532" s="17">
        <f>IF($C532&gt;M$462,ROUND(M$462*M$461,2),ROUND($C532*M$461,2))</f>
        <v>1237</v>
      </c>
      <c r="P532" s="17">
        <f>IF($C532&gt;M$462,ROUND(($C532-M$462)*O$461,2),0)</f>
        <v>0</v>
      </c>
      <c r="Q532" s="42">
        <f>SUM(O532:P532)</f>
        <v>1237</v>
      </c>
      <c r="R532" s="16" t="e">
        <f>ROUND(SUM(N532:P532)*(R531-1),2)</f>
        <v>#N/A</v>
      </c>
      <c r="S532" s="42">
        <f>ROUND($B532*S$461*S531,2)</f>
        <v>0</v>
      </c>
      <c r="T532" s="42">
        <f>ROUND($B532*T$461,2)</f>
        <v>0</v>
      </c>
      <c r="U532" s="42">
        <f>ROUND($B532*U$461,2)</f>
        <v>0</v>
      </c>
      <c r="V532" s="41">
        <f>ROUND($B532*$V$458,2)</f>
        <v>0</v>
      </c>
      <c r="W532" s="42">
        <f>ROUND($B532*W$461,2)</f>
        <v>0</v>
      </c>
      <c r="X532" s="42">
        <f>ROUND($B532*X$461,2)</f>
        <v>0</v>
      </c>
      <c r="Y532" s="42">
        <f>ROUND($B532*Y$461,2)</f>
        <v>0</v>
      </c>
      <c r="Z532" s="42">
        <f>ROUND($B532*Z$461,2)</f>
        <v>0</v>
      </c>
      <c r="AA532" s="42">
        <f>ROUND($B532*AA$461,2)</f>
        <v>0</v>
      </c>
      <c r="AB532" s="19" t="e">
        <f>SUM(U$461:AA$461)+(-V$461+#REF!)</f>
        <v>#REF!</v>
      </c>
      <c r="AC532" s="94" t="str">
        <f>+F532</f>
        <v>SL2</v>
      </c>
    </row>
    <row r="533" spans="1:29" x14ac:dyDescent="0.2">
      <c r="A533" s="9"/>
      <c r="B533" s="97">
        <v>-1</v>
      </c>
      <c r="D533" s="41"/>
      <c r="E533" s="80"/>
      <c r="F533" s="36"/>
      <c r="G533" s="98"/>
      <c r="H533" s="19"/>
      <c r="J533" s="82"/>
      <c r="K533" s="42"/>
      <c r="O533" s="42"/>
      <c r="P533" s="42"/>
      <c r="Q533" s="42"/>
      <c r="R533" s="38" t="e">
        <f>INDEX('Pwr Factor'!$A$1:$B$52,MATCH((D534),'Pwr Factor'!$A$1:$A$52,0),2)</f>
        <v>#N/A</v>
      </c>
      <c r="S533" s="50">
        <v>0</v>
      </c>
      <c r="T533" s="42"/>
      <c r="U533" s="42"/>
      <c r="V533" s="41"/>
      <c r="W533" s="42"/>
      <c r="X533" s="42"/>
      <c r="Y533" s="42"/>
      <c r="Z533" s="42"/>
      <c r="AA533" s="42"/>
      <c r="AB533" s="19"/>
      <c r="AC533" s="94"/>
    </row>
    <row r="534" spans="1:29" x14ac:dyDescent="0.2">
      <c r="A534" s="1" t="s">
        <v>147</v>
      </c>
      <c r="B534" s="103">
        <f>IF(AND('AES Indiana Bill Calc.'!$D$17="SL",'AES Indiana Bill Calc.'!$D$18="No",'AES Indiana Bill Calc.'!$D$20="Yes 2022"),'AES Indiana Bill Calc.'!$D$19,-1)</f>
        <v>-1</v>
      </c>
      <c r="C534" s="103">
        <f>MAX(E534,$C$462)</f>
        <v>50</v>
      </c>
      <c r="D534" s="103" t="b">
        <f>IF(AND('AES Indiana Bill Calc.'!$D$17="SL",'AES Indiana Bill Calc.'!$D$18="No",'AES Indiana Bill Calc.'!$D$20="Yes 2022"),'AES Indiana Bill Calc.'!$D$22)</f>
        <v>0</v>
      </c>
      <c r="E534" s="103" t="b">
        <f>IF(AND('AES Indiana Bill Calc.'!$D$17="SL",'AES Indiana Bill Calc.'!$D$18="No",'AES Indiana Bill Calc.'!$D$20="Yes 2022"),'AES Indiana Bill Calc.'!$D$21)</f>
        <v>0</v>
      </c>
      <c r="F534" s="36" t="s">
        <v>207</v>
      </c>
      <c r="G534" s="17" t="e">
        <f>SUM(J534:M534,O534:P534,R534:AA534)</f>
        <v>#N/A</v>
      </c>
      <c r="H534" s="19" t="e">
        <f>IF(ISBLANK(B534),0,+#REF!/B534)</f>
        <v>#REF!</v>
      </c>
      <c r="J534" s="82">
        <f>IF(ISBLANK(B534),0,+J$461)</f>
        <v>120</v>
      </c>
      <c r="K534" s="42">
        <f>ROUND($B534*K$461,2)</f>
        <v>-0.04</v>
      </c>
      <c r="N534" s="18">
        <f>K534</f>
        <v>-0.04</v>
      </c>
      <c r="O534" s="17">
        <f>IF($C534&gt;M$462,ROUND(M$462*M$461,2),ROUND($C534*M$461,2))</f>
        <v>1237</v>
      </c>
      <c r="P534" s="17">
        <f>IF($C534&gt;M$462,ROUND(($C534-M$462)*O$461,2),0)</f>
        <v>0</v>
      </c>
      <c r="Q534" s="42">
        <f>SUM(O534:P534)</f>
        <v>1237</v>
      </c>
      <c r="R534" s="16" t="e">
        <f>ROUND(SUM(N534:P534)*(R533-1),2)</f>
        <v>#N/A</v>
      </c>
      <c r="S534" s="42">
        <f>ROUND($B534*S$461*S533,2)</f>
        <v>0</v>
      </c>
      <c r="T534" s="42">
        <f>ROUND($B534*T$461,2)</f>
        <v>0</v>
      </c>
      <c r="U534" s="42">
        <f>ROUND($B534*U$461,2)</f>
        <v>0</v>
      </c>
      <c r="V534" s="41">
        <f>ROUND($B534*$V$458,2)</f>
        <v>0</v>
      </c>
      <c r="W534" s="42">
        <f>ROUND($B534*W$461,2)</f>
        <v>0</v>
      </c>
      <c r="X534" s="42">
        <f>ROUND($B534*X$461,2)</f>
        <v>0</v>
      </c>
      <c r="Y534" s="42">
        <f>ROUND($B534*Y$461,2)</f>
        <v>0</v>
      </c>
      <c r="Z534" s="42">
        <f>ROUND($B534*Z$461,2)</f>
        <v>0</v>
      </c>
      <c r="AA534" s="42">
        <f>ROUND($B534*AA$461,2)</f>
        <v>0</v>
      </c>
      <c r="AB534" s="19" t="e">
        <f>SUM(U$461:AA$461)+(-V$461+#REF!)</f>
        <v>#REF!</v>
      </c>
      <c r="AC534" s="94" t="str">
        <f>+F534</f>
        <v>SL2</v>
      </c>
    </row>
    <row r="535" spans="1:29" x14ac:dyDescent="0.2">
      <c r="A535" s="1"/>
      <c r="B535" s="103">
        <v>-1</v>
      </c>
      <c r="C535" s="103"/>
      <c r="D535" s="103"/>
      <c r="E535" s="103"/>
      <c r="F535" s="36"/>
      <c r="G535" s="17"/>
      <c r="H535" s="19"/>
      <c r="J535" s="82"/>
      <c r="K535" s="42"/>
      <c r="N535" s="18"/>
      <c r="O535" s="17"/>
      <c r="P535" s="17"/>
      <c r="Q535" s="42"/>
      <c r="R535" s="38" t="e">
        <f>INDEX('Pwr Factor'!$A$1:$B$52,MATCH((D536),'Pwr Factor'!$A$1:$A$52,0),2)</f>
        <v>#N/A</v>
      </c>
      <c r="S535" s="50">
        <v>1</v>
      </c>
      <c r="T535" s="42"/>
      <c r="U535" s="42"/>
      <c r="V535" s="41"/>
      <c r="W535" s="42"/>
      <c r="X535" s="42"/>
      <c r="Y535" s="42"/>
      <c r="Z535" s="42"/>
      <c r="AA535" s="42"/>
      <c r="AB535" s="19"/>
      <c r="AC535" s="94"/>
    </row>
    <row r="536" spans="1:29" x14ac:dyDescent="0.2">
      <c r="A536" s="1" t="s">
        <v>148</v>
      </c>
      <c r="B536" s="103">
        <f>IF(AND('AES Indiana Bill Calc.'!$D$17="SL",'AES Indiana Bill Calc.'!$D$18="Yes 100%",'AES Indiana Bill Calc.'!$D$20="Yes 2023"),'AES Indiana Bill Calc.'!$D$19,-1)</f>
        <v>-1</v>
      </c>
      <c r="C536" s="103">
        <f>MAX(E536,$C$462)</f>
        <v>50</v>
      </c>
      <c r="D536" s="103" t="b">
        <f>IF(AND('AES Indiana Bill Calc.'!$D$17="SL",'AES Indiana Bill Calc.'!$D$18="Yes 100%",'AES Indiana Bill Calc.'!$D$20="Yes 2023"),'AES Indiana Bill Calc.'!$D$22)</f>
        <v>0</v>
      </c>
      <c r="E536" s="103" t="b">
        <f>IF(AND('AES Indiana Bill Calc.'!$D$17="SL",'AES Indiana Bill Calc.'!$D$18="Yes 100%",'AES Indiana Bill Calc.'!$D$20="Yes 2023"),'AES Indiana Bill Calc.'!$D$21)</f>
        <v>0</v>
      </c>
      <c r="F536" s="36" t="s">
        <v>208</v>
      </c>
      <c r="G536" s="17" t="e">
        <f>SUM(J536:M536,O536:P536,R536:AA536)</f>
        <v>#N/A</v>
      </c>
      <c r="H536" s="19" t="e">
        <f>IF(ISBLANK(B536),0,+#REF!/B536)</f>
        <v>#REF!</v>
      </c>
      <c r="J536" s="82">
        <f>IF(ISBLANK(B536),0,+J$461)</f>
        <v>120</v>
      </c>
      <c r="K536" s="42">
        <f>ROUND($B536*K$461,2)</f>
        <v>-0.04</v>
      </c>
      <c r="N536" s="18">
        <f>K536</f>
        <v>-0.04</v>
      </c>
      <c r="O536" s="17">
        <f>IF($C536&gt;M$462,ROUND(M$462*M$461,2),ROUND($C536*M$461,2))</f>
        <v>1237</v>
      </c>
      <c r="P536" s="17">
        <f>IF($C536&gt;M$462,ROUND(($C536-M$462)*O$461,2),0)</f>
        <v>0</v>
      </c>
      <c r="Q536" s="42">
        <f>SUM(O536:P536)</f>
        <v>1237</v>
      </c>
      <c r="R536" s="16" t="e">
        <f>ROUND(SUM(N536:P536)*(R535-1),2)</f>
        <v>#N/A</v>
      </c>
      <c r="S536" s="42">
        <f>ROUND($B536*S$461*S535,2)</f>
        <v>0</v>
      </c>
      <c r="T536" s="42">
        <f>ROUND($B536*T$461,2)</f>
        <v>0</v>
      </c>
      <c r="U536" s="42">
        <f>ROUND($B536*U$461,2)</f>
        <v>0</v>
      </c>
      <c r="V536" s="41">
        <f>ROUND($B536*$V$459,2)</f>
        <v>0</v>
      </c>
      <c r="W536" s="42">
        <f>ROUND($B536*W$461,2)</f>
        <v>0</v>
      </c>
      <c r="X536" s="42">
        <f>ROUND($B536*X$461,2)</f>
        <v>0</v>
      </c>
      <c r="Y536" s="42">
        <f>ROUND($B536*Y$461,2)</f>
        <v>0</v>
      </c>
      <c r="Z536" s="42">
        <f>ROUND($B536*Z$461,2)</f>
        <v>0</v>
      </c>
      <c r="AA536" s="42">
        <f>ROUND($B536*AA$461,2)</f>
        <v>0</v>
      </c>
      <c r="AB536" s="19" t="e">
        <f>SUM(U$461:AA$461)+(-V$461+#REF!)</f>
        <v>#REF!</v>
      </c>
      <c r="AC536" s="94" t="str">
        <f>+F536</f>
        <v>SL3</v>
      </c>
    </row>
    <row r="537" spans="1:29" x14ac:dyDescent="0.2">
      <c r="A537" s="9"/>
      <c r="B537" s="97">
        <v>-1</v>
      </c>
      <c r="D537" s="41"/>
      <c r="E537" s="80"/>
      <c r="F537" s="36"/>
      <c r="G537" s="98"/>
      <c r="H537" s="19"/>
      <c r="J537" s="82"/>
      <c r="K537" s="42"/>
      <c r="O537" s="42"/>
      <c r="P537" s="42"/>
      <c r="Q537" s="42"/>
      <c r="R537" s="38" t="e">
        <f>INDEX('Pwr Factor'!$A$1:$B$52,MATCH((D538),'Pwr Factor'!$A$1:$A$52,0),2)</f>
        <v>#N/A</v>
      </c>
      <c r="S537" s="50">
        <v>0.5</v>
      </c>
      <c r="T537" s="42"/>
      <c r="U537" s="42"/>
      <c r="V537" s="41"/>
      <c r="W537" s="42"/>
      <c r="X537" s="42"/>
      <c r="Y537" s="42"/>
      <c r="Z537" s="42"/>
      <c r="AA537" s="42"/>
      <c r="AB537" s="19"/>
      <c r="AC537" s="94"/>
    </row>
    <row r="538" spans="1:29" x14ac:dyDescent="0.2">
      <c r="A538" s="1" t="s">
        <v>149</v>
      </c>
      <c r="B538" s="103">
        <f>IF(AND('AES Indiana Bill Calc.'!$D$17="SL",'AES Indiana Bill Calc.'!$D$18="Yes 50%",'AES Indiana Bill Calc.'!$D$20="Yes 2023"),'AES Indiana Bill Calc.'!$D$19,-1)</f>
        <v>-1</v>
      </c>
      <c r="C538" s="103">
        <f>MAX(E538,$C$462)</f>
        <v>50</v>
      </c>
      <c r="D538" s="103" t="b">
        <f>IF(AND('AES Indiana Bill Calc.'!$D$17="SL",'AES Indiana Bill Calc.'!$D$18="Yes 50%",'AES Indiana Bill Calc.'!$D$20="Yes 2023"),'AES Indiana Bill Calc.'!$D$22)</f>
        <v>0</v>
      </c>
      <c r="E538" s="103" t="b">
        <f>IF(AND('AES Indiana Bill Calc.'!$D$17="SL",'AES Indiana Bill Calc.'!$D$18="Yes 50%",'AES Indiana Bill Calc.'!$D$20="Yes 2023"),'AES Indiana Bill Calc.'!$D$21)</f>
        <v>0</v>
      </c>
      <c r="F538" s="36" t="s">
        <v>208</v>
      </c>
      <c r="G538" s="17" t="e">
        <f>SUM(J538:M538,O538:P538,R538:AA538)</f>
        <v>#N/A</v>
      </c>
      <c r="H538" s="19" t="e">
        <f>IF(ISBLANK(B538),0,+#REF!/B538)</f>
        <v>#REF!</v>
      </c>
      <c r="J538" s="82">
        <f>IF(ISBLANK(B538),0,+J$461)</f>
        <v>120</v>
      </c>
      <c r="K538" s="42">
        <f>ROUND($B538*K$461,2)</f>
        <v>-0.04</v>
      </c>
      <c r="N538" s="18">
        <f>K538</f>
        <v>-0.04</v>
      </c>
      <c r="O538" s="17">
        <f>IF($C538&gt;M$462,ROUND(M$462*M$461,2),ROUND($C538*M$461,2))</f>
        <v>1237</v>
      </c>
      <c r="P538" s="17">
        <f>IF($C538&gt;M$462,ROUND(($C538-M$462)*O$461,2),0)</f>
        <v>0</v>
      </c>
      <c r="Q538" s="42">
        <f>SUM(O538:P538)</f>
        <v>1237</v>
      </c>
      <c r="R538" s="16" t="e">
        <f>ROUND(SUM(N538:P538)*(R537-1),2)</f>
        <v>#N/A</v>
      </c>
      <c r="S538" s="42">
        <f>ROUND($B538*S$461*S537,2)</f>
        <v>0</v>
      </c>
      <c r="T538" s="42">
        <f>ROUND($B538*T$461,2)</f>
        <v>0</v>
      </c>
      <c r="U538" s="42">
        <f>ROUND($B538*U$461,2)</f>
        <v>0</v>
      </c>
      <c r="V538" s="41">
        <f>ROUND($B538*$V$459,2)</f>
        <v>0</v>
      </c>
      <c r="W538" s="42">
        <f>ROUND($B538*W$461,2)</f>
        <v>0</v>
      </c>
      <c r="X538" s="42">
        <f>ROUND($B538*X$461,2)</f>
        <v>0</v>
      </c>
      <c r="Y538" s="42">
        <f>ROUND($B538*Y$461,2)</f>
        <v>0</v>
      </c>
      <c r="Z538" s="42">
        <f>ROUND($B538*Z$461,2)</f>
        <v>0</v>
      </c>
      <c r="AA538" s="42">
        <f>ROUND($B538*AA$461,2)</f>
        <v>0</v>
      </c>
      <c r="AB538" s="19" t="e">
        <f>SUM(U$461:AA$461)+(-V$461+#REF!)</f>
        <v>#REF!</v>
      </c>
      <c r="AC538" s="94" t="str">
        <f>+F538</f>
        <v>SL3</v>
      </c>
    </row>
    <row r="539" spans="1:29" x14ac:dyDescent="0.2">
      <c r="A539" s="9"/>
      <c r="B539" s="97">
        <v>-1</v>
      </c>
      <c r="D539" s="41"/>
      <c r="E539" s="80"/>
      <c r="F539" s="36"/>
      <c r="G539" s="98"/>
      <c r="H539" s="19"/>
      <c r="J539" s="82"/>
      <c r="K539" s="42"/>
      <c r="O539" s="42"/>
      <c r="P539" s="42"/>
      <c r="Q539" s="42"/>
      <c r="R539" s="38" t="e">
        <f>INDEX('Pwr Factor'!$A$1:$B$52,MATCH((D540),'Pwr Factor'!$A$1:$A$52,0),2)</f>
        <v>#N/A</v>
      </c>
      <c r="S539" s="50">
        <v>0.25</v>
      </c>
      <c r="T539" s="42"/>
      <c r="U539" s="42"/>
      <c r="V539" s="41"/>
      <c r="W539" s="42"/>
      <c r="X539" s="42"/>
      <c r="Y539" s="42"/>
      <c r="Z539" s="42"/>
      <c r="AA539" s="42"/>
      <c r="AB539" s="19"/>
      <c r="AC539" s="94"/>
    </row>
    <row r="540" spans="1:29" x14ac:dyDescent="0.2">
      <c r="A540" s="1" t="s">
        <v>150</v>
      </c>
      <c r="B540" s="103">
        <f>IF(AND('AES Indiana Bill Calc.'!$D$17="SL",'AES Indiana Bill Calc.'!$D$18="Yes 25%",'AES Indiana Bill Calc.'!$D$20="Yes 2023"),'AES Indiana Bill Calc.'!$D$19,-1)</f>
        <v>-1</v>
      </c>
      <c r="C540" s="103">
        <f>MAX(E540,$C$462)</f>
        <v>50</v>
      </c>
      <c r="D540" s="103" t="b">
        <f>IF(AND('AES Indiana Bill Calc.'!$D$17="SL",'AES Indiana Bill Calc.'!$D$18="Yes 25%",'AES Indiana Bill Calc.'!$D$20="Yes 2023"),'AES Indiana Bill Calc.'!$D$22)</f>
        <v>0</v>
      </c>
      <c r="E540" s="103" t="b">
        <f>IF(AND('AES Indiana Bill Calc.'!$D$17="SL",'AES Indiana Bill Calc.'!$D$18="Yes 25%",'AES Indiana Bill Calc.'!$D$20="Yes 2023"),'AES Indiana Bill Calc.'!$D$21)</f>
        <v>0</v>
      </c>
      <c r="F540" s="36" t="s">
        <v>208</v>
      </c>
      <c r="G540" s="17" t="e">
        <f>SUM(J540:M540,O540:P540,R540:AA540)</f>
        <v>#N/A</v>
      </c>
      <c r="H540" s="19" t="e">
        <f>IF(ISBLANK(B540),0,+#REF!/B540)</f>
        <v>#REF!</v>
      </c>
      <c r="J540" s="82">
        <f>IF(ISBLANK(B540),0,+J$461)</f>
        <v>120</v>
      </c>
      <c r="K540" s="42">
        <f>ROUND($B540*K$461,2)</f>
        <v>-0.04</v>
      </c>
      <c r="N540" s="18">
        <f>K540</f>
        <v>-0.04</v>
      </c>
      <c r="O540" s="17">
        <f>IF($C540&gt;M$462,ROUND(M$462*M$461,2),ROUND($C540*M$461,2))</f>
        <v>1237</v>
      </c>
      <c r="P540" s="17">
        <f>IF($C540&gt;M$462,ROUND(($C540-M$462)*O$461,2),0)</f>
        <v>0</v>
      </c>
      <c r="Q540" s="42">
        <f>SUM(O540:P540)</f>
        <v>1237</v>
      </c>
      <c r="R540" s="16" t="e">
        <f>ROUND(SUM(N540:P540)*(R539-1),2)</f>
        <v>#N/A</v>
      </c>
      <c r="S540" s="42">
        <f>ROUND($B540*S$461*S539,2)</f>
        <v>0</v>
      </c>
      <c r="T540" s="42">
        <f>ROUND($B540*T$461,2)</f>
        <v>0</v>
      </c>
      <c r="U540" s="42">
        <f>ROUND($B540*U$461,2)</f>
        <v>0</v>
      </c>
      <c r="V540" s="41">
        <f>ROUND($B540*$V$459,2)</f>
        <v>0</v>
      </c>
      <c r="W540" s="42">
        <f>ROUND($B540*W$461,2)</f>
        <v>0</v>
      </c>
      <c r="X540" s="42">
        <f>ROUND($B540*X$461,2)</f>
        <v>0</v>
      </c>
      <c r="Y540" s="42">
        <f>ROUND($B540*Y$461,2)</f>
        <v>0</v>
      </c>
      <c r="Z540" s="42">
        <f>ROUND($B540*Z$461,2)</f>
        <v>0</v>
      </c>
      <c r="AA540" s="42">
        <f>ROUND($B540*AA$461,2)</f>
        <v>0</v>
      </c>
      <c r="AB540" s="19" t="e">
        <f>SUM(U$461:AA$461)+(-V$461+#REF!)</f>
        <v>#REF!</v>
      </c>
      <c r="AC540" s="94" t="str">
        <f>+F540</f>
        <v>SL3</v>
      </c>
    </row>
    <row r="541" spans="1:29" x14ac:dyDescent="0.2">
      <c r="A541" s="9"/>
      <c r="B541" s="97">
        <v>-1</v>
      </c>
      <c r="D541" s="41"/>
      <c r="E541" s="80"/>
      <c r="F541" s="36"/>
      <c r="G541" s="98"/>
      <c r="H541" s="19"/>
      <c r="J541" s="82"/>
      <c r="K541" s="42"/>
      <c r="O541" s="42"/>
      <c r="P541" s="42"/>
      <c r="Q541" s="42"/>
      <c r="R541" s="38" t="e">
        <f>INDEX('Pwr Factor'!$A$1:$B$52,MATCH((D542),'Pwr Factor'!$A$1:$A$52,0),2)</f>
        <v>#N/A</v>
      </c>
      <c r="S541" s="50">
        <v>0.1</v>
      </c>
      <c r="T541" s="42"/>
      <c r="U541" s="42"/>
      <c r="V541" s="41"/>
      <c r="W541" s="42"/>
      <c r="X541" s="42"/>
      <c r="Y541" s="42"/>
      <c r="Z541" s="42"/>
      <c r="AA541" s="42"/>
      <c r="AB541" s="19"/>
      <c r="AC541" s="94"/>
    </row>
    <row r="542" spans="1:29" x14ac:dyDescent="0.2">
      <c r="A542" s="1" t="s">
        <v>164</v>
      </c>
      <c r="B542" s="103">
        <f>IF(AND('AES Indiana Bill Calc.'!$D$17="SL",'AES Indiana Bill Calc.'!$D$18="Yes 10%",'AES Indiana Bill Calc.'!$D$20="Yes 2023"),'AES Indiana Bill Calc.'!$D$19,-1)</f>
        <v>-1</v>
      </c>
      <c r="C542" s="103">
        <f>MAX(E542,$C$462)</f>
        <v>50</v>
      </c>
      <c r="D542" s="103" t="b">
        <f>IF(AND('AES Indiana Bill Calc.'!$D$17="SL",'AES Indiana Bill Calc.'!$D$18="Yes 10%",'AES Indiana Bill Calc.'!$D$20="Yes 2023"),'AES Indiana Bill Calc.'!$D$22)</f>
        <v>0</v>
      </c>
      <c r="E542" s="103" t="b">
        <f>IF(AND('AES Indiana Bill Calc.'!$D$17="SL",'AES Indiana Bill Calc.'!$D$18="Yes 10%",'AES Indiana Bill Calc.'!$D$20="Yes 2023"),'AES Indiana Bill Calc.'!$D$21)</f>
        <v>0</v>
      </c>
      <c r="F542" s="36" t="s">
        <v>208</v>
      </c>
      <c r="G542" s="17" t="e">
        <f>SUM(J542:M542,O542:P542,R542:AA542)</f>
        <v>#N/A</v>
      </c>
      <c r="H542" s="19" t="e">
        <f>IF(ISBLANK(B542),0,+#REF!/B542)</f>
        <v>#REF!</v>
      </c>
      <c r="J542" s="82">
        <f>IF(ISBLANK(B542),0,+J$461)</f>
        <v>120</v>
      </c>
      <c r="K542" s="42">
        <f>ROUND($B542*K$461,2)</f>
        <v>-0.04</v>
      </c>
      <c r="N542" s="18">
        <f>K542</f>
        <v>-0.04</v>
      </c>
      <c r="O542" s="17">
        <f>IF($C542&gt;M$462,ROUND(M$462*M$461,2),ROUND($C542*M$461,2))</f>
        <v>1237</v>
      </c>
      <c r="P542" s="17">
        <f>IF($C542&gt;M$462,ROUND(($C542-M$462)*O$461,2),0)</f>
        <v>0</v>
      </c>
      <c r="Q542" s="42">
        <f>SUM(O542:P542)</f>
        <v>1237</v>
      </c>
      <c r="R542" s="16" t="e">
        <f>ROUND(SUM(N542:P542)*(R541-1),2)</f>
        <v>#N/A</v>
      </c>
      <c r="S542" s="42">
        <f>ROUND($B542*S$461*S541,2)</f>
        <v>0</v>
      </c>
      <c r="T542" s="42">
        <f>ROUND($B542*T$461,2)</f>
        <v>0</v>
      </c>
      <c r="U542" s="42">
        <f>ROUND($B542*U$461,2)</f>
        <v>0</v>
      </c>
      <c r="V542" s="41">
        <f>ROUND($B542*$V$459,2)</f>
        <v>0</v>
      </c>
      <c r="W542" s="42">
        <f>ROUND($B542*W$461,2)</f>
        <v>0</v>
      </c>
      <c r="X542" s="42">
        <f>ROUND($B542*X$461,2)</f>
        <v>0</v>
      </c>
      <c r="Y542" s="42">
        <f>ROUND($B542*Y$461,2)</f>
        <v>0</v>
      </c>
      <c r="Z542" s="42">
        <f>ROUND($B542*Z$461,2)</f>
        <v>0</v>
      </c>
      <c r="AA542" s="42">
        <f>ROUND($B542*AA$461,2)</f>
        <v>0</v>
      </c>
      <c r="AB542" s="19" t="e">
        <f>SUM(U$461:AA$461)+(-V$461+#REF!)</f>
        <v>#REF!</v>
      </c>
      <c r="AC542" s="94" t="str">
        <f>+F542</f>
        <v>SL3</v>
      </c>
    </row>
    <row r="543" spans="1:29" x14ac:dyDescent="0.2">
      <c r="A543" s="9"/>
      <c r="B543" s="97">
        <v>-1</v>
      </c>
      <c r="D543" s="41"/>
      <c r="E543" s="80"/>
      <c r="F543" s="36"/>
      <c r="G543" s="98"/>
      <c r="H543" s="19"/>
      <c r="J543" s="82"/>
      <c r="K543" s="42"/>
      <c r="O543" s="42"/>
      <c r="P543" s="42"/>
      <c r="Q543" s="42"/>
      <c r="R543" s="38" t="e">
        <f>INDEX('Pwr Factor'!$A$1:$B$52,MATCH((D544),'Pwr Factor'!$A$1:$A$52,0),2)</f>
        <v>#N/A</v>
      </c>
      <c r="S543" s="50">
        <v>0</v>
      </c>
      <c r="T543" s="42"/>
      <c r="U543" s="42"/>
      <c r="V543" s="41"/>
      <c r="W543" s="42"/>
      <c r="X543" s="42"/>
      <c r="Y543" s="42"/>
      <c r="Z543" s="42"/>
      <c r="AA543" s="42"/>
      <c r="AB543" s="19"/>
      <c r="AC543" s="94"/>
    </row>
    <row r="544" spans="1:29" x14ac:dyDescent="0.2">
      <c r="A544" s="1" t="s">
        <v>147</v>
      </c>
      <c r="B544" s="103">
        <f>IF(AND('AES Indiana Bill Calc.'!$D$17="SL",'AES Indiana Bill Calc.'!$D$18="No",'AES Indiana Bill Calc.'!$D$20="Yes 2023"),'AES Indiana Bill Calc.'!$D$19,-1)</f>
        <v>-1</v>
      </c>
      <c r="C544" s="103">
        <f>MAX(E544,$C$462)</f>
        <v>50</v>
      </c>
      <c r="D544" s="103" t="b">
        <f>IF(AND('AES Indiana Bill Calc.'!$D$17="SL",'AES Indiana Bill Calc.'!$D$18="No",'AES Indiana Bill Calc.'!$D$20="Yes 2023"),'AES Indiana Bill Calc.'!$D$22)</f>
        <v>0</v>
      </c>
      <c r="E544" s="103" t="b">
        <f>IF(AND('AES Indiana Bill Calc.'!$D$17="SL",'AES Indiana Bill Calc.'!$D$18="No",'AES Indiana Bill Calc.'!$D$20="Yes 2023"),'AES Indiana Bill Calc.'!$D$21)</f>
        <v>0</v>
      </c>
      <c r="F544" s="36" t="s">
        <v>208</v>
      </c>
      <c r="G544" s="17" t="e">
        <f>SUM(J544:M544,O544:P544,R544:AA544)</f>
        <v>#N/A</v>
      </c>
      <c r="H544" s="19" t="e">
        <f>IF(ISBLANK(B544),0,+#REF!/B544)</f>
        <v>#REF!</v>
      </c>
      <c r="J544" s="82">
        <f>IF(ISBLANK(B544),0,+J$461)</f>
        <v>120</v>
      </c>
      <c r="K544" s="42">
        <f>ROUND($B544*K$461,2)</f>
        <v>-0.04</v>
      </c>
      <c r="N544" s="18">
        <f>K544</f>
        <v>-0.04</v>
      </c>
      <c r="O544" s="17">
        <f>IF($C544&gt;M$462,ROUND(M$462*M$461,2),ROUND($C544*M$461,2))</f>
        <v>1237</v>
      </c>
      <c r="P544" s="17">
        <f>IF($C544&gt;M$462,ROUND(($C544-M$462)*O$461,2),0)</f>
        <v>0</v>
      </c>
      <c r="Q544" s="42">
        <f>SUM(O544:P544)</f>
        <v>1237</v>
      </c>
      <c r="R544" s="16" t="e">
        <f>ROUND(SUM(N544:P544)*(R543-1),2)</f>
        <v>#N/A</v>
      </c>
      <c r="S544" s="42">
        <f>ROUND($B544*S$461*S543,2)</f>
        <v>0</v>
      </c>
      <c r="T544" s="42">
        <f>ROUND($B544*T$461,2)</f>
        <v>0</v>
      </c>
      <c r="U544" s="42">
        <f>ROUND($B544*U$461,2)</f>
        <v>0</v>
      </c>
      <c r="V544" s="41">
        <f>ROUND($B544*$V$459,2)</f>
        <v>0</v>
      </c>
      <c r="W544" s="42">
        <f>ROUND($B544*W$461,2)</f>
        <v>0</v>
      </c>
      <c r="X544" s="42">
        <f>ROUND($B544*X$461,2)</f>
        <v>0</v>
      </c>
      <c r="Y544" s="42">
        <f>ROUND($B544*Y$461,2)</f>
        <v>0</v>
      </c>
      <c r="Z544" s="42">
        <f>ROUND($B544*Z$461,2)</f>
        <v>0</v>
      </c>
      <c r="AA544" s="42">
        <f>ROUND($B544*AA$461,2)</f>
        <v>0</v>
      </c>
      <c r="AB544" s="19" t="e">
        <f>SUM(U$461:AA$461)+(-V$461+#REF!)</f>
        <v>#REF!</v>
      </c>
      <c r="AC544" s="94" t="str">
        <f>+F544</f>
        <v>SL3</v>
      </c>
    </row>
    <row r="545" spans="1:29" x14ac:dyDescent="0.2">
      <c r="A545" s="1"/>
      <c r="B545" s="103">
        <v>-1</v>
      </c>
      <c r="C545" s="103"/>
      <c r="D545" s="103"/>
      <c r="E545" s="103"/>
      <c r="F545" s="36"/>
      <c r="G545" s="17"/>
      <c r="H545" s="19"/>
      <c r="J545" s="82"/>
      <c r="K545" s="42"/>
      <c r="N545" s="18"/>
      <c r="O545" s="17"/>
      <c r="P545" s="17"/>
      <c r="Q545" s="42"/>
      <c r="R545" s="38" t="e">
        <f>INDEX('Pwr Factor'!$A$1:$B$52,MATCH((D546),'Pwr Factor'!$A$1:$A$52,0),2)</f>
        <v>#N/A</v>
      </c>
      <c r="S545" s="50">
        <v>1</v>
      </c>
      <c r="T545" s="42"/>
      <c r="U545" s="42"/>
      <c r="V545" s="41"/>
      <c r="W545" s="42"/>
      <c r="X545" s="42"/>
      <c r="Y545" s="42"/>
      <c r="Z545" s="42"/>
      <c r="AA545" s="42"/>
      <c r="AB545" s="19"/>
      <c r="AC545" s="94"/>
    </row>
    <row r="546" spans="1:29" x14ac:dyDescent="0.2">
      <c r="A546" s="1" t="s">
        <v>148</v>
      </c>
      <c r="B546" s="103">
        <f>IF(AND('AES Indiana Bill Calc.'!$D$17="SL",'AES Indiana Bill Calc.'!$D$18="Yes 100%",'AES Indiana Bill Calc.'!$D$20="Yes 2024"),'AES Indiana Bill Calc.'!$D$19,-1)</f>
        <v>-1</v>
      </c>
      <c r="C546" s="103">
        <f>MAX(E546,$C$462)</f>
        <v>50</v>
      </c>
      <c r="D546" s="103" t="b">
        <f>IF(AND('AES Indiana Bill Calc.'!$D$17="SL",'AES Indiana Bill Calc.'!$D$18="Yes 100%",'AES Indiana Bill Calc.'!$D$20="Yes 2024"),'AES Indiana Bill Calc.'!$D$22)</f>
        <v>0</v>
      </c>
      <c r="E546" s="103" t="b">
        <f>IF(AND('AES Indiana Bill Calc.'!$D$17="SL",'AES Indiana Bill Calc.'!$D$18="Yes 100%",'AES Indiana Bill Calc.'!$D$20="Yes 2024"),'AES Indiana Bill Calc.'!$D$21)</f>
        <v>0</v>
      </c>
      <c r="F546" s="36" t="s">
        <v>306</v>
      </c>
      <c r="G546" s="17" t="e">
        <f>SUM(J546:M546,O546:P546,R546:AA546)</f>
        <v>#N/A</v>
      </c>
      <c r="H546" s="19" t="e">
        <f>IF(ISBLANK(B546),0,+#REF!/B546)</f>
        <v>#REF!</v>
      </c>
      <c r="J546" s="82">
        <f>IF(ISBLANK(B546),0,+J$461)</f>
        <v>120</v>
      </c>
      <c r="K546" s="42">
        <f>ROUND($B546*K$461,2)</f>
        <v>-0.04</v>
      </c>
      <c r="N546" s="18">
        <f>K546</f>
        <v>-0.04</v>
      </c>
      <c r="O546" s="17">
        <f>IF($C546&gt;M$462,ROUND(M$462*M$461,2),ROUND($C546*M$461,2))</f>
        <v>1237</v>
      </c>
      <c r="P546" s="17">
        <f>IF($C546&gt;M$462,ROUND(($C546-M$462)*O$461,2),0)</f>
        <v>0</v>
      </c>
      <c r="Q546" s="42">
        <f>SUM(O546:P546)</f>
        <v>1237</v>
      </c>
      <c r="R546" s="16" t="e">
        <f>ROUND(SUM(N546:P546)*(R545-1),2)</f>
        <v>#N/A</v>
      </c>
      <c r="S546" s="42">
        <f>ROUND($B546*S$461*S545,2)</f>
        <v>0</v>
      </c>
      <c r="T546" s="42">
        <f>ROUND($B546*T$461,2)</f>
        <v>0</v>
      </c>
      <c r="U546" s="42">
        <f>ROUND($B546*U$461,2)</f>
        <v>0</v>
      </c>
      <c r="V546" s="41">
        <f>ROUND($B546*$V$460,2)</f>
        <v>0</v>
      </c>
      <c r="W546" s="42">
        <f>ROUND($B546*W$461,2)</f>
        <v>0</v>
      </c>
      <c r="X546" s="42">
        <f>ROUND($B546*X$461,2)</f>
        <v>0</v>
      </c>
      <c r="Y546" s="42">
        <f>ROUND($B546*Y$461,2)</f>
        <v>0</v>
      </c>
      <c r="Z546" s="42">
        <f>ROUND($B546*Z$461,2)</f>
        <v>0</v>
      </c>
      <c r="AA546" s="42">
        <f>ROUND($B546*AA$461,2)</f>
        <v>0</v>
      </c>
      <c r="AB546" s="19" t="e">
        <f>SUM(U$461:AA$461)+(-V$461+#REF!)</f>
        <v>#REF!</v>
      </c>
      <c r="AC546" s="94" t="str">
        <f>+F546</f>
        <v>SL4</v>
      </c>
    </row>
    <row r="547" spans="1:29" x14ac:dyDescent="0.2">
      <c r="A547" s="9"/>
      <c r="B547" s="97">
        <v>-1</v>
      </c>
      <c r="D547" s="41"/>
      <c r="E547" s="80"/>
      <c r="F547" s="36"/>
      <c r="G547" s="98"/>
      <c r="H547" s="19"/>
      <c r="J547" s="82"/>
      <c r="K547" s="42"/>
      <c r="O547" s="42"/>
      <c r="P547" s="42"/>
      <c r="Q547" s="42"/>
      <c r="R547" s="38" t="e">
        <f>INDEX('Pwr Factor'!$A$1:$B$52,MATCH((D548),'Pwr Factor'!$A$1:$A$52,0),2)</f>
        <v>#N/A</v>
      </c>
      <c r="S547" s="50">
        <v>0.5</v>
      </c>
      <c r="T547" s="42"/>
      <c r="U547" s="42"/>
      <c r="V547" s="41"/>
      <c r="W547" s="42"/>
      <c r="X547" s="42"/>
      <c r="Y547" s="42"/>
      <c r="Z547" s="42"/>
      <c r="AA547" s="42"/>
      <c r="AB547" s="19"/>
      <c r="AC547" s="94"/>
    </row>
    <row r="548" spans="1:29" x14ac:dyDescent="0.2">
      <c r="A548" s="1" t="s">
        <v>149</v>
      </c>
      <c r="B548" s="103">
        <f>IF(AND('AES Indiana Bill Calc.'!$D$17="SL",'AES Indiana Bill Calc.'!$D$18="Yes 50%",'AES Indiana Bill Calc.'!$D$20="Yes 2024"),'AES Indiana Bill Calc.'!$D$19,-1)</f>
        <v>-1</v>
      </c>
      <c r="C548" s="103">
        <f>MAX(E548,$C$462)</f>
        <v>50</v>
      </c>
      <c r="D548" s="103" t="b">
        <f>IF(AND('AES Indiana Bill Calc.'!$D$17="SL",'AES Indiana Bill Calc.'!$D$18="Yes 50%",'AES Indiana Bill Calc.'!$D$20="Yes 2024"),'AES Indiana Bill Calc.'!$D$22)</f>
        <v>0</v>
      </c>
      <c r="E548" s="103" t="b">
        <f>IF(AND('AES Indiana Bill Calc.'!$D$17="SL",'AES Indiana Bill Calc.'!$D$18="Yes 50%",'AES Indiana Bill Calc.'!$D$20="Yes 2024"),'AES Indiana Bill Calc.'!$D$21)</f>
        <v>0</v>
      </c>
      <c r="F548" s="36" t="s">
        <v>306</v>
      </c>
      <c r="G548" s="17" t="e">
        <f>SUM(J548:M548,O548:P548,R548:AA548)</f>
        <v>#N/A</v>
      </c>
      <c r="H548" s="19" t="e">
        <f>IF(ISBLANK(B548),0,+#REF!/B548)</f>
        <v>#REF!</v>
      </c>
      <c r="J548" s="82">
        <f>IF(ISBLANK(B548),0,+J$461)</f>
        <v>120</v>
      </c>
      <c r="K548" s="42">
        <f>ROUND($B548*K$461,2)</f>
        <v>-0.04</v>
      </c>
      <c r="N548" s="18">
        <f>K548</f>
        <v>-0.04</v>
      </c>
      <c r="O548" s="17">
        <f>IF($C548&gt;M$462,ROUND(M$462*M$461,2),ROUND($C548*M$461,2))</f>
        <v>1237</v>
      </c>
      <c r="P548" s="17">
        <f>IF($C548&gt;M$462,ROUND(($C548-M$462)*O$461,2),0)</f>
        <v>0</v>
      </c>
      <c r="Q548" s="42">
        <f>SUM(O548:P548)</f>
        <v>1237</v>
      </c>
      <c r="R548" s="16" t="e">
        <f>ROUND(SUM(N548:P548)*(R547-1),2)</f>
        <v>#N/A</v>
      </c>
      <c r="S548" s="42">
        <f>ROUND($B548*S$461*S547,2)</f>
        <v>0</v>
      </c>
      <c r="T548" s="42">
        <f>ROUND($B548*T$461,2)</f>
        <v>0</v>
      </c>
      <c r="U548" s="42">
        <f>ROUND($B548*U$461,2)</f>
        <v>0</v>
      </c>
      <c r="V548" s="41">
        <f>ROUND($B548*$V$460,2)</f>
        <v>0</v>
      </c>
      <c r="W548" s="42">
        <f>ROUND($B548*W$461,2)</f>
        <v>0</v>
      </c>
      <c r="X548" s="42">
        <f>ROUND($B548*X$461,2)</f>
        <v>0</v>
      </c>
      <c r="Y548" s="42">
        <f>ROUND($B548*Y$461,2)</f>
        <v>0</v>
      </c>
      <c r="Z548" s="42">
        <f>ROUND($B548*Z$461,2)</f>
        <v>0</v>
      </c>
      <c r="AA548" s="42">
        <f>ROUND($B548*AA$461,2)</f>
        <v>0</v>
      </c>
      <c r="AB548" s="19" t="e">
        <f>SUM(U$461:AA$461)+(-V$461+#REF!)</f>
        <v>#REF!</v>
      </c>
      <c r="AC548" s="94" t="str">
        <f>+F548</f>
        <v>SL4</v>
      </c>
    </row>
    <row r="549" spans="1:29" x14ac:dyDescent="0.2">
      <c r="A549" s="9"/>
      <c r="B549" s="97">
        <v>-1</v>
      </c>
      <c r="D549" s="41"/>
      <c r="E549" s="80"/>
      <c r="F549" s="36"/>
      <c r="G549" s="98"/>
      <c r="H549" s="19"/>
      <c r="J549" s="82"/>
      <c r="K549" s="42"/>
      <c r="O549" s="42"/>
      <c r="P549" s="42"/>
      <c r="Q549" s="42"/>
      <c r="R549" s="38" t="e">
        <f>INDEX('Pwr Factor'!$A$1:$B$52,MATCH((D550),'Pwr Factor'!$A$1:$A$52,0),2)</f>
        <v>#N/A</v>
      </c>
      <c r="S549" s="50">
        <v>0.25</v>
      </c>
      <c r="T549" s="42"/>
      <c r="U549" s="42"/>
      <c r="V549" s="41"/>
      <c r="W549" s="42"/>
      <c r="X549" s="42"/>
      <c r="Y549" s="42"/>
      <c r="Z549" s="42"/>
      <c r="AA549" s="42"/>
      <c r="AB549" s="19"/>
      <c r="AC549" s="94"/>
    </row>
    <row r="550" spans="1:29" x14ac:dyDescent="0.2">
      <c r="A550" s="1" t="s">
        <v>150</v>
      </c>
      <c r="B550" s="103">
        <f>IF(AND('AES Indiana Bill Calc.'!$D$17="SL",'AES Indiana Bill Calc.'!$D$18="Yes 25%",'AES Indiana Bill Calc.'!$D$20="Yes 2024"),'AES Indiana Bill Calc.'!$D$19,-1)</f>
        <v>-1</v>
      </c>
      <c r="C550" s="103">
        <f>MAX(E550,$C$462)</f>
        <v>50</v>
      </c>
      <c r="D550" s="103" t="b">
        <f>IF(AND('AES Indiana Bill Calc.'!$D$17="SL",'AES Indiana Bill Calc.'!$D$18="Yes 25%",'AES Indiana Bill Calc.'!$D$20="Yes 2024"),'AES Indiana Bill Calc.'!$D$22)</f>
        <v>0</v>
      </c>
      <c r="E550" s="103" t="b">
        <f>IF(AND('AES Indiana Bill Calc.'!$D$17="SL",'AES Indiana Bill Calc.'!$D$18="Yes 25%",'AES Indiana Bill Calc.'!$D$20="Yes 2024"),'AES Indiana Bill Calc.'!$D$21)</f>
        <v>0</v>
      </c>
      <c r="F550" s="36" t="s">
        <v>306</v>
      </c>
      <c r="G550" s="17" t="e">
        <f>SUM(J550:M550,O550:P550,R550:AA550)</f>
        <v>#N/A</v>
      </c>
      <c r="H550" s="19" t="e">
        <f>IF(ISBLANK(B550),0,+#REF!/B550)</f>
        <v>#REF!</v>
      </c>
      <c r="J550" s="82">
        <f>IF(ISBLANK(B550),0,+J$461)</f>
        <v>120</v>
      </c>
      <c r="K550" s="42">
        <f>ROUND($B550*K$461,2)</f>
        <v>-0.04</v>
      </c>
      <c r="N550" s="18">
        <f>K550</f>
        <v>-0.04</v>
      </c>
      <c r="O550" s="17">
        <f>IF($C550&gt;M$462,ROUND(M$462*M$461,2),ROUND($C550*M$461,2))</f>
        <v>1237</v>
      </c>
      <c r="P550" s="17">
        <f>IF($C550&gt;M$462,ROUND(($C550-M$462)*O$461,2),0)</f>
        <v>0</v>
      </c>
      <c r="Q550" s="42">
        <f>SUM(O550:P550)</f>
        <v>1237</v>
      </c>
      <c r="R550" s="16" t="e">
        <f>ROUND(SUM(N550:P550)*(R549-1),2)</f>
        <v>#N/A</v>
      </c>
      <c r="S550" s="42">
        <f>ROUND($B550*S$461*S549,2)</f>
        <v>0</v>
      </c>
      <c r="T550" s="42">
        <f>ROUND($B550*T$461,2)</f>
        <v>0</v>
      </c>
      <c r="U550" s="42">
        <f>ROUND($B550*U$461,2)</f>
        <v>0</v>
      </c>
      <c r="V550" s="41">
        <f>ROUND($B550*$V$460,2)</f>
        <v>0</v>
      </c>
      <c r="W550" s="42">
        <f>ROUND($B550*W$461,2)</f>
        <v>0</v>
      </c>
      <c r="X550" s="42">
        <f>ROUND($B550*X$461,2)</f>
        <v>0</v>
      </c>
      <c r="Y550" s="42">
        <f>ROUND($B550*Y$461,2)</f>
        <v>0</v>
      </c>
      <c r="Z550" s="42">
        <f>ROUND($B550*Z$461,2)</f>
        <v>0</v>
      </c>
      <c r="AA550" s="42">
        <f>ROUND($B550*AA$461,2)</f>
        <v>0</v>
      </c>
      <c r="AB550" s="19" t="e">
        <f>SUM(U$461:AA$461)+(-V$461+#REF!)</f>
        <v>#REF!</v>
      </c>
      <c r="AC550" s="94" t="str">
        <f>+F550</f>
        <v>SL4</v>
      </c>
    </row>
    <row r="551" spans="1:29" x14ac:dyDescent="0.2">
      <c r="A551" s="9"/>
      <c r="B551" s="97">
        <v>-1</v>
      </c>
      <c r="D551" s="41"/>
      <c r="E551" s="80"/>
      <c r="F551" s="36"/>
      <c r="G551" s="98"/>
      <c r="H551" s="19"/>
      <c r="J551" s="82"/>
      <c r="K551" s="42"/>
      <c r="O551" s="42"/>
      <c r="P551" s="42"/>
      <c r="Q551" s="42"/>
      <c r="R551" s="38" t="e">
        <f>INDEX('Pwr Factor'!$A$1:$B$52,MATCH((D552),'Pwr Factor'!$A$1:$A$52,0),2)</f>
        <v>#N/A</v>
      </c>
      <c r="S551" s="50">
        <v>0.1</v>
      </c>
      <c r="T551" s="42"/>
      <c r="U551" s="42"/>
      <c r="V551" s="41"/>
      <c r="W551" s="42"/>
      <c r="X551" s="42"/>
      <c r="Y551" s="42"/>
      <c r="Z551" s="42"/>
      <c r="AA551" s="42"/>
      <c r="AB551" s="19"/>
      <c r="AC551" s="94"/>
    </row>
    <row r="552" spans="1:29" x14ac:dyDescent="0.2">
      <c r="A552" s="1" t="s">
        <v>164</v>
      </c>
      <c r="B552" s="103">
        <f>IF(AND('AES Indiana Bill Calc.'!$D$17="SL",'AES Indiana Bill Calc.'!$D$18="Yes 10%",'AES Indiana Bill Calc.'!$D$20="Yes 2024"),'AES Indiana Bill Calc.'!$D$19,-1)</f>
        <v>-1</v>
      </c>
      <c r="C552" s="103">
        <f>MAX(E552,$C$462)</f>
        <v>50</v>
      </c>
      <c r="D552" s="103" t="b">
        <f>IF(AND('AES Indiana Bill Calc.'!$D$17="SL",'AES Indiana Bill Calc.'!$D$18="Yes 10%",'AES Indiana Bill Calc.'!$D$20="Yes 2024"),'AES Indiana Bill Calc.'!$D$22)</f>
        <v>0</v>
      </c>
      <c r="E552" s="103" t="b">
        <f>IF(AND('AES Indiana Bill Calc.'!$D$17="SL",'AES Indiana Bill Calc.'!$D$18="Yes 10%",'AES Indiana Bill Calc.'!$D$20="Yes 2024"),'AES Indiana Bill Calc.'!$D$21)</f>
        <v>0</v>
      </c>
      <c r="F552" s="36" t="s">
        <v>306</v>
      </c>
      <c r="G552" s="17" t="e">
        <f>SUM(J552:M552,O552:P552,R552:AA552)</f>
        <v>#N/A</v>
      </c>
      <c r="H552" s="19" t="e">
        <f>IF(ISBLANK(B552),0,+#REF!/B552)</f>
        <v>#REF!</v>
      </c>
      <c r="J552" s="82">
        <f>IF(ISBLANK(B552),0,+J$461)</f>
        <v>120</v>
      </c>
      <c r="K552" s="42">
        <f>ROUND($B552*K$461,2)</f>
        <v>-0.04</v>
      </c>
      <c r="N552" s="18">
        <f>K552</f>
        <v>-0.04</v>
      </c>
      <c r="O552" s="17">
        <f>IF($C552&gt;M$462,ROUND(M$462*M$461,2),ROUND($C552*M$461,2))</f>
        <v>1237</v>
      </c>
      <c r="P552" s="17">
        <f>IF($C552&gt;M$462,ROUND(($C552-M$462)*O$461,2),0)</f>
        <v>0</v>
      </c>
      <c r="Q552" s="42">
        <f>SUM(O552:P552)</f>
        <v>1237</v>
      </c>
      <c r="R552" s="16" t="e">
        <f>ROUND(SUM(N552:P552)*(R551-1),2)</f>
        <v>#N/A</v>
      </c>
      <c r="S552" s="42">
        <f>ROUND($B552*S$461*S551,2)</f>
        <v>0</v>
      </c>
      <c r="T552" s="42">
        <f>ROUND($B552*T$461,2)</f>
        <v>0</v>
      </c>
      <c r="U552" s="42">
        <f>ROUND($B552*U$461,2)</f>
        <v>0</v>
      </c>
      <c r="V552" s="41">
        <f>ROUND($B552*$V$460,2)</f>
        <v>0</v>
      </c>
      <c r="W552" s="42">
        <f>ROUND($B552*W$461,2)</f>
        <v>0</v>
      </c>
      <c r="X552" s="42">
        <f>ROUND($B552*X$461,2)</f>
        <v>0</v>
      </c>
      <c r="Y552" s="42">
        <f>ROUND($B552*Y$461,2)</f>
        <v>0</v>
      </c>
      <c r="Z552" s="42">
        <f>ROUND($B552*Z$461,2)</f>
        <v>0</v>
      </c>
      <c r="AA552" s="42">
        <f>ROUND($B552*AA$461,2)</f>
        <v>0</v>
      </c>
      <c r="AB552" s="19" t="e">
        <f>SUM(U$461:AA$461)+(-V$461+#REF!)</f>
        <v>#REF!</v>
      </c>
      <c r="AC552" s="94" t="str">
        <f>+F552</f>
        <v>SL4</v>
      </c>
    </row>
    <row r="553" spans="1:29" x14ac:dyDescent="0.2">
      <c r="A553" s="9"/>
      <c r="B553" s="97">
        <v>-1</v>
      </c>
      <c r="D553" s="41"/>
      <c r="E553" s="80"/>
      <c r="F553" s="36"/>
      <c r="G553" s="98"/>
      <c r="H553" s="19"/>
      <c r="J553" s="82"/>
      <c r="K553" s="42"/>
      <c r="O553" s="42"/>
      <c r="P553" s="42"/>
      <c r="Q553" s="42"/>
      <c r="R553" s="38" t="e">
        <f>INDEX('Pwr Factor'!$A$1:$B$52,MATCH((D554),'Pwr Factor'!$A$1:$A$52,0),2)</f>
        <v>#N/A</v>
      </c>
      <c r="S553" s="50">
        <v>0</v>
      </c>
      <c r="T553" s="42"/>
      <c r="U553" s="42"/>
      <c r="V553" s="41"/>
      <c r="W553" s="42"/>
      <c r="X553" s="42"/>
      <c r="Y553" s="42"/>
      <c r="Z553" s="42"/>
      <c r="AA553" s="42"/>
      <c r="AB553" s="19"/>
      <c r="AC553" s="94"/>
    </row>
    <row r="554" spans="1:29" x14ac:dyDescent="0.2">
      <c r="A554" s="1" t="s">
        <v>147</v>
      </c>
      <c r="B554" s="103">
        <f>IF(AND('AES Indiana Bill Calc.'!$D$17="SL",'AES Indiana Bill Calc.'!$D$18="No",'AES Indiana Bill Calc.'!$D$20="Yes 2024"),'AES Indiana Bill Calc.'!$D$19,-1)</f>
        <v>-1</v>
      </c>
      <c r="C554" s="103">
        <f>MAX(E554,$C$462)</f>
        <v>50</v>
      </c>
      <c r="D554" s="103" t="b">
        <f>IF(AND('AES Indiana Bill Calc.'!$D$17="SL",'AES Indiana Bill Calc.'!$D$18="No",'AES Indiana Bill Calc.'!$D$20="Yes 2024"),'AES Indiana Bill Calc.'!$D$22)</f>
        <v>0</v>
      </c>
      <c r="E554" s="103" t="b">
        <f>IF(AND('AES Indiana Bill Calc.'!$D$17="SL",'AES Indiana Bill Calc.'!$D$18="No",'AES Indiana Bill Calc.'!$D$20="Yes 2024"),'AES Indiana Bill Calc.'!$D$21)</f>
        <v>0</v>
      </c>
      <c r="F554" s="36" t="s">
        <v>306</v>
      </c>
      <c r="G554" s="17" t="e">
        <f>SUM(J554:M554,O554:P554,R554:AA554)</f>
        <v>#N/A</v>
      </c>
      <c r="H554" s="19" t="e">
        <f>IF(ISBLANK(B554),0,+#REF!/B554)</f>
        <v>#REF!</v>
      </c>
      <c r="J554" s="82">
        <f>IF(ISBLANK(B554),0,+J$461)</f>
        <v>120</v>
      </c>
      <c r="K554" s="42">
        <f>ROUND($B554*K$461,2)</f>
        <v>-0.04</v>
      </c>
      <c r="N554" s="18">
        <f>K554</f>
        <v>-0.04</v>
      </c>
      <c r="O554" s="17">
        <f>IF($C554&gt;M$462,ROUND(M$462*M$461,2),ROUND($C554*M$461,2))</f>
        <v>1237</v>
      </c>
      <c r="P554" s="17">
        <f>IF($C554&gt;M$462,ROUND(($C554-M$462)*O$461,2),0)</f>
        <v>0</v>
      </c>
      <c r="Q554" s="42">
        <f>SUM(O554:P554)</f>
        <v>1237</v>
      </c>
      <c r="R554" s="16" t="e">
        <f>ROUND(SUM(N554:P554)*(R553-1),2)</f>
        <v>#N/A</v>
      </c>
      <c r="S554" s="42">
        <f>ROUND($B554*S$461*S553,2)</f>
        <v>0</v>
      </c>
      <c r="T554" s="42">
        <f>ROUND($B554*T$461,2)</f>
        <v>0</v>
      </c>
      <c r="U554" s="42">
        <f>ROUND($B554*U$461,2)</f>
        <v>0</v>
      </c>
      <c r="V554" s="41">
        <f>ROUND($B554*$V$460,2)</f>
        <v>0</v>
      </c>
      <c r="W554" s="42">
        <f>ROUND($B554*W$461,2)</f>
        <v>0</v>
      </c>
      <c r="X554" s="42">
        <f>ROUND($B554*X$461,2)</f>
        <v>0</v>
      </c>
      <c r="Y554" s="42">
        <f>ROUND($B554*Y$461,2)</f>
        <v>0</v>
      </c>
      <c r="Z554" s="42">
        <f>ROUND($B554*Z$461,2)</f>
        <v>0</v>
      </c>
      <c r="AA554" s="42">
        <f>ROUND($B554*AA$461,2)</f>
        <v>0</v>
      </c>
      <c r="AB554" s="19" t="e">
        <f>SUM(U$461:AA$461)+(-V$461+#REF!)</f>
        <v>#REF!</v>
      </c>
      <c r="AC554" s="94" t="str">
        <f>+F554</f>
        <v>SL4</v>
      </c>
    </row>
    <row r="555" spans="1:29" x14ac:dyDescent="0.2">
      <c r="A555" s="1"/>
      <c r="B555" s="103">
        <v>-1</v>
      </c>
      <c r="C555" s="103"/>
      <c r="D555" s="103"/>
      <c r="E555" s="103"/>
      <c r="F555" s="36"/>
      <c r="G555" s="17"/>
      <c r="H555" s="19"/>
      <c r="J555" s="82"/>
      <c r="K555" s="42"/>
      <c r="N555" s="18"/>
      <c r="O555" s="17"/>
      <c r="P555" s="17"/>
      <c r="Q555" s="42"/>
      <c r="R555" s="16"/>
      <c r="S555" s="42"/>
      <c r="T555" s="42"/>
      <c r="U555" s="42"/>
      <c r="V555" s="41"/>
      <c r="W555" s="42"/>
      <c r="X555" s="42"/>
      <c r="Y555" s="42"/>
      <c r="Z555" s="42"/>
      <c r="AA555" s="42"/>
      <c r="AB555" s="19"/>
      <c r="AC555" s="94"/>
    </row>
    <row r="556" spans="1:29" x14ac:dyDescent="0.2">
      <c r="B556" s="103">
        <v>-1</v>
      </c>
      <c r="C556" s="9"/>
      <c r="D556" s="8"/>
      <c r="S556" s="6"/>
      <c r="T556" s="6"/>
      <c r="U556" s="6"/>
      <c r="V556" s="27">
        <f>+T14</f>
        <v>0</v>
      </c>
      <c r="W556" s="6" t="s">
        <v>155</v>
      </c>
      <c r="X556" s="6"/>
      <c r="Y556" s="6"/>
      <c r="Z556" s="6"/>
      <c r="AA556" s="6"/>
      <c r="AB556" s="19" t="e">
        <f>+AB$564-V$564+#REF!</f>
        <v>#REF!</v>
      </c>
    </row>
    <row r="557" spans="1:29" x14ac:dyDescent="0.2">
      <c r="B557" s="103">
        <v>-1</v>
      </c>
      <c r="C557" s="9"/>
      <c r="D557" s="8"/>
      <c r="S557" s="6"/>
      <c r="T557" s="6"/>
      <c r="U557" s="6"/>
      <c r="V557" s="27">
        <f>T16</f>
        <v>-4.3999999999999999E-5</v>
      </c>
      <c r="W557" s="6" t="s">
        <v>156</v>
      </c>
      <c r="X557" s="6"/>
      <c r="Y557" s="6"/>
      <c r="Z557" s="6"/>
      <c r="AA557" s="6"/>
      <c r="AB557" s="19"/>
    </row>
    <row r="558" spans="1:29" x14ac:dyDescent="0.2">
      <c r="B558" s="103">
        <v>-1</v>
      </c>
      <c r="C558" s="9"/>
      <c r="D558" s="8"/>
      <c r="S558" s="6"/>
      <c r="T558" s="6"/>
      <c r="U558" s="6"/>
      <c r="V558" s="27">
        <f>$T$19</f>
        <v>1.15E-4</v>
      </c>
      <c r="W558" s="6" t="s">
        <v>157</v>
      </c>
      <c r="X558" s="6"/>
      <c r="Y558" s="6"/>
      <c r="Z558" s="6"/>
      <c r="AA558" s="6"/>
      <c r="AB558" s="19"/>
    </row>
    <row r="559" spans="1:29" x14ac:dyDescent="0.2">
      <c r="B559" s="103">
        <v>-1</v>
      </c>
      <c r="C559" s="9"/>
      <c r="D559" s="8"/>
      <c r="S559" s="6"/>
      <c r="T559" s="6"/>
      <c r="U559" s="6"/>
      <c r="V559" s="27">
        <f>$T$21</f>
        <v>4.6099999999999998E-4</v>
      </c>
      <c r="W559" s="6" t="s">
        <v>158</v>
      </c>
      <c r="X559" s="6"/>
      <c r="Y559" s="6"/>
      <c r="Z559" s="6"/>
      <c r="AA559" s="6"/>
      <c r="AB559" s="19"/>
    </row>
    <row r="560" spans="1:29" x14ac:dyDescent="0.2">
      <c r="B560" s="103">
        <v>-1</v>
      </c>
      <c r="C560" s="9"/>
      <c r="D560" s="8"/>
      <c r="S560" s="6"/>
      <c r="T560" s="6"/>
      <c r="U560" s="6"/>
      <c r="V560" s="27">
        <f>$T$23</f>
        <v>-8.1300000000000003E-4</v>
      </c>
      <c r="W560" s="6" t="s">
        <v>159</v>
      </c>
      <c r="X560" s="6"/>
      <c r="Y560" s="6"/>
      <c r="Z560" s="6"/>
      <c r="AA560" s="6"/>
      <c r="AB560" s="19"/>
    </row>
    <row r="561" spans="1:29" x14ac:dyDescent="0.2">
      <c r="B561" s="103">
        <v>-1</v>
      </c>
      <c r="C561" s="33" t="s">
        <v>194</v>
      </c>
      <c r="D561" s="8"/>
      <c r="S561" s="6"/>
      <c r="T561" s="6"/>
      <c r="U561" s="6"/>
      <c r="V561" s="27">
        <f>$T$25</f>
        <v>0</v>
      </c>
      <c r="W561" s="6" t="s">
        <v>160</v>
      </c>
      <c r="X561" s="6"/>
      <c r="Y561" s="6"/>
      <c r="Z561" s="6"/>
      <c r="AA561" s="6"/>
      <c r="AB561" s="19"/>
    </row>
    <row r="562" spans="1:29" x14ac:dyDescent="0.2">
      <c r="B562" s="103">
        <v>-1</v>
      </c>
      <c r="C562" s="73">
        <v>500</v>
      </c>
      <c r="D562" s="8"/>
      <c r="S562" s="6"/>
      <c r="T562" s="6"/>
      <c r="U562" s="6"/>
      <c r="V562" s="19">
        <f>T27</f>
        <v>0</v>
      </c>
      <c r="W562" s="6" t="s">
        <v>161</v>
      </c>
      <c r="X562" s="6"/>
      <c r="Y562" s="6"/>
      <c r="Z562" s="6"/>
      <c r="AA562" s="6"/>
      <c r="AB562" s="19"/>
    </row>
    <row r="563" spans="1:29" x14ac:dyDescent="0.2">
      <c r="B563" s="103"/>
      <c r="C563" s="73"/>
      <c r="D563" s="8"/>
      <c r="S563" s="6"/>
      <c r="T563" s="6"/>
      <c r="U563" s="6"/>
      <c r="V563" s="19">
        <f>T29</f>
        <v>2.6050000000000001E-3</v>
      </c>
      <c r="W563" s="6" t="s">
        <v>301</v>
      </c>
      <c r="X563" s="6"/>
      <c r="Y563" s="6"/>
      <c r="Z563" s="6"/>
      <c r="AA563" s="6"/>
      <c r="AB563" s="19"/>
    </row>
    <row r="564" spans="1:29" x14ac:dyDescent="0.2">
      <c r="A564" s="1"/>
      <c r="B564" s="103">
        <v>-1</v>
      </c>
      <c r="C564" s="9"/>
      <c r="D564" s="8"/>
      <c r="F564" s="70"/>
      <c r="G564" s="70"/>
      <c r="H564" s="70"/>
      <c r="J564" s="161">
        <v>130</v>
      </c>
      <c r="K564" s="162">
        <v>4.0835999999999997E-2</v>
      </c>
      <c r="L564" s="161">
        <v>28.3</v>
      </c>
      <c r="M564" s="161">
        <v>28.3</v>
      </c>
      <c r="N564" s="72"/>
      <c r="O564" s="72"/>
      <c r="P564" s="72"/>
      <c r="Q564" s="72"/>
      <c r="R564" s="5"/>
      <c r="S564" s="27">
        <f>+M$5</f>
        <v>3.0000000000000001E-3</v>
      </c>
      <c r="T564" s="27">
        <f>+R$5</f>
        <v>-3.4320000000000002E-3</v>
      </c>
      <c r="U564" s="27">
        <f>+S$31</f>
        <v>1.305E-3</v>
      </c>
      <c r="V564" s="27">
        <f>+T$5</f>
        <v>5.5240000000000003E-3</v>
      </c>
      <c r="W564" s="27">
        <f>+U$5</f>
        <v>0</v>
      </c>
      <c r="X564" s="27">
        <f>+V$31</f>
        <v>2.5569999999999998E-3</v>
      </c>
      <c r="Y564" s="27">
        <f>W31</f>
        <v>-1.771E-3</v>
      </c>
      <c r="Z564" s="27">
        <f>X31</f>
        <v>6.2500000000000001E-4</v>
      </c>
      <c r="AA564" s="27">
        <f>Y31</f>
        <v>-3.4600000000000001E-4</v>
      </c>
      <c r="AB564" s="19">
        <f>SUM(U564:Z564)</f>
        <v>8.2400000000000008E-3</v>
      </c>
    </row>
    <row r="565" spans="1:29" x14ac:dyDescent="0.2">
      <c r="B565" s="103">
        <v>-1</v>
      </c>
      <c r="C565" s="9"/>
      <c r="D565" s="8"/>
      <c r="F565" s="70"/>
      <c r="G565" s="70"/>
      <c r="H565" s="70"/>
      <c r="I565" s="70"/>
      <c r="J565" s="70"/>
      <c r="K565" s="70"/>
      <c r="L565" s="73">
        <v>2000</v>
      </c>
      <c r="M565" s="70"/>
      <c r="N565" s="70"/>
      <c r="O565" s="70"/>
      <c r="P565" s="70"/>
      <c r="Q565" s="70"/>
    </row>
    <row r="566" spans="1:29" x14ac:dyDescent="0.2">
      <c r="B566" s="103">
        <v>-1</v>
      </c>
      <c r="C566" s="9"/>
      <c r="D566" s="8"/>
      <c r="F566" s="12"/>
      <c r="J566" s="12" t="s">
        <v>137</v>
      </c>
      <c r="K566" s="12" t="s">
        <v>197</v>
      </c>
      <c r="L566" s="204" t="s">
        <v>30</v>
      </c>
      <c r="M566" s="204"/>
      <c r="N566" s="12"/>
      <c r="O566" s="12"/>
      <c r="P566" s="12"/>
      <c r="Q566" s="12"/>
      <c r="R566" s="12" t="s">
        <v>196</v>
      </c>
      <c r="S566" s="12">
        <v>21</v>
      </c>
      <c r="T566" s="12">
        <v>6</v>
      </c>
      <c r="U566" s="12">
        <v>3</v>
      </c>
      <c r="V566" s="12">
        <v>22</v>
      </c>
      <c r="W566" s="12">
        <v>13</v>
      </c>
      <c r="X566" s="12">
        <v>20</v>
      </c>
      <c r="Y566" s="12">
        <v>24</v>
      </c>
      <c r="Z566" s="12">
        <v>25</v>
      </c>
      <c r="AA566" s="12">
        <v>26</v>
      </c>
    </row>
    <row r="567" spans="1:29" x14ac:dyDescent="0.2">
      <c r="A567" s="13"/>
      <c r="B567" s="103">
        <v>-1</v>
      </c>
      <c r="C567" s="99" t="s">
        <v>209</v>
      </c>
      <c r="D567" s="100" t="s">
        <v>210</v>
      </c>
      <c r="E567" s="130" t="s">
        <v>199</v>
      </c>
      <c r="F567" s="13" t="s">
        <v>141</v>
      </c>
      <c r="G567" s="13" t="s">
        <v>142</v>
      </c>
      <c r="H567" s="13" t="s">
        <v>143</v>
      </c>
      <c r="I567" s="12"/>
      <c r="J567" s="13" t="s">
        <v>144</v>
      </c>
      <c r="K567" s="13" t="s">
        <v>144</v>
      </c>
      <c r="L567" s="13" t="s">
        <v>211</v>
      </c>
      <c r="M567" s="13" t="s">
        <v>212</v>
      </c>
      <c r="N567" s="143" t="s">
        <v>138</v>
      </c>
      <c r="O567" s="13"/>
      <c r="P567" s="13"/>
      <c r="Q567" s="143" t="s">
        <v>173</v>
      </c>
      <c r="R567" s="13" t="s">
        <v>201</v>
      </c>
      <c r="S567" s="13" t="s">
        <v>106</v>
      </c>
      <c r="T567" s="13" t="s">
        <v>36</v>
      </c>
      <c r="U567" s="139" t="s">
        <v>38</v>
      </c>
      <c r="V567" s="13" t="s">
        <v>107</v>
      </c>
      <c r="W567" s="13" t="s">
        <v>108</v>
      </c>
      <c r="X567" s="13" t="s">
        <v>109</v>
      </c>
      <c r="Y567" s="139" t="s">
        <v>44</v>
      </c>
      <c r="Z567" s="139" t="s">
        <v>46</v>
      </c>
      <c r="AA567" s="139" t="s">
        <v>48</v>
      </c>
      <c r="AB567" s="66" t="s">
        <v>110</v>
      </c>
    </row>
    <row r="568" spans="1:29" x14ac:dyDescent="0.2">
      <c r="B568" s="103">
        <v>-1</v>
      </c>
      <c r="C568" s="9"/>
      <c r="D568" s="8"/>
      <c r="F568" s="36"/>
      <c r="G568" s="17"/>
      <c r="H568" s="19"/>
      <c r="I568" s="19"/>
      <c r="J568" s="8"/>
      <c r="K568" s="17"/>
      <c r="L568" s="17"/>
      <c r="M568" s="17"/>
      <c r="N568" s="17"/>
      <c r="O568" s="17"/>
      <c r="P568" s="17"/>
      <c r="Q568" s="17"/>
      <c r="R568" s="38" t="e">
        <f>VLOOKUP((D569),'Pwr Factor'!$A$1:$B$52,2)</f>
        <v>#N/A</v>
      </c>
      <c r="S568" s="50">
        <v>1</v>
      </c>
      <c r="T568" s="17"/>
      <c r="U568" s="17"/>
      <c r="V568" s="17"/>
      <c r="W568" s="17"/>
      <c r="X568" s="17"/>
      <c r="Y568" s="17"/>
      <c r="Z568" s="17"/>
      <c r="AA568" s="17"/>
    </row>
    <row r="569" spans="1:29" x14ac:dyDescent="0.2">
      <c r="A569" s="1" t="s">
        <v>148</v>
      </c>
      <c r="B569" s="103">
        <f>IF(AND('AES Indiana Bill Calc.'!$D$17="PL",'AES Indiana Bill Calc.'!$D$18="Yes 100%",'AES Indiana Bill Calc.'!$D$20="No"),'AES Indiana Bill Calc.'!$D$19,-1)</f>
        <v>-1</v>
      </c>
      <c r="C569" s="103">
        <f>MAX(E569,$C$562)</f>
        <v>500</v>
      </c>
      <c r="D569" s="103" t="b">
        <f>IF(AND('AES Indiana Bill Calc.'!$D$17="PL",'AES Indiana Bill Calc.'!$D$18="Yes 100%",'AES Indiana Bill Calc.'!$D$20="No"),'AES Indiana Bill Calc.'!$D$22)</f>
        <v>0</v>
      </c>
      <c r="E569" s="103" t="b">
        <f>IF(AND('AES Indiana Bill Calc.'!$D$17="PL",'AES Indiana Bill Calc.'!$D$18="Yes 100%",'AES Indiana Bill Calc.'!$D$20="No"),'AES Indiana Bill Calc.'!$D$21)</f>
        <v>0</v>
      </c>
      <c r="F569" s="36" t="s">
        <v>62</v>
      </c>
      <c r="G569" s="42" t="e">
        <f>SUM(J569:M569,R569:AA569)</f>
        <v>#N/A</v>
      </c>
      <c r="H569" s="19" t="e">
        <f>IF(ISBLANK(B569),0,+#REF!/B569)</f>
        <v>#REF!</v>
      </c>
      <c r="I569" s="19"/>
      <c r="J569" s="109">
        <f>IF(ISBLANK(B569),0,+J$564)</f>
        <v>130</v>
      </c>
      <c r="K569" s="92">
        <f>ROUND($B569*K$564,2)</f>
        <v>-0.04</v>
      </c>
      <c r="L569" s="92">
        <f>IF($C569&gt;L$565,ROUND(L$565*L$564,2),ROUND($C569*L$564,2))</f>
        <v>14150</v>
      </c>
      <c r="M569" s="92">
        <f>IF($C569&gt;L$565,ROUND(($C569-L$565)*M$564,2),0)</f>
        <v>0</v>
      </c>
      <c r="N569" s="92">
        <f>K569</f>
        <v>-0.04</v>
      </c>
      <c r="O569" s="92"/>
      <c r="P569" s="92"/>
      <c r="Q569" s="92">
        <f>SUM(L569:M569)</f>
        <v>14150</v>
      </c>
      <c r="R569" s="110" t="e">
        <f>ROUND(SUM(K569:M569)*(R568-1),2)</f>
        <v>#N/A</v>
      </c>
      <c r="S569" s="92">
        <f>ROUND($B569*S$564*S568,2)</f>
        <v>0</v>
      </c>
      <c r="T569" s="92">
        <f t="shared" ref="T569:AA569" si="36">ROUND($B569*T$564,2)</f>
        <v>0</v>
      </c>
      <c r="U569" s="92">
        <f t="shared" si="36"/>
        <v>0</v>
      </c>
      <c r="V569" s="92">
        <f t="shared" si="36"/>
        <v>-0.01</v>
      </c>
      <c r="W569" s="92">
        <f t="shared" si="36"/>
        <v>0</v>
      </c>
      <c r="X569" s="92">
        <f t="shared" si="36"/>
        <v>0</v>
      </c>
      <c r="Y569" s="92">
        <f t="shared" si="36"/>
        <v>0</v>
      </c>
      <c r="Z569" s="92">
        <f t="shared" si="36"/>
        <v>0</v>
      </c>
      <c r="AA569" s="92">
        <f t="shared" si="36"/>
        <v>0</v>
      </c>
      <c r="AB569" s="19">
        <f>SUM(U564:AA564)</f>
        <v>7.894E-3</v>
      </c>
      <c r="AC569" s="105" t="str">
        <f>+F569</f>
        <v>PL</v>
      </c>
    </row>
    <row r="570" spans="1:29" x14ac:dyDescent="0.2">
      <c r="A570" s="9"/>
      <c r="B570" s="103">
        <v>-1</v>
      </c>
      <c r="C570" s="9"/>
      <c r="D570" s="8"/>
      <c r="F570" s="36"/>
      <c r="G570" s="17"/>
      <c r="H570" s="19"/>
      <c r="I570" s="19"/>
      <c r="J570" s="8"/>
      <c r="K570" s="17"/>
      <c r="L570" s="17"/>
      <c r="M570" s="17"/>
      <c r="N570" s="17"/>
      <c r="O570" s="17"/>
      <c r="P570" s="17"/>
      <c r="Q570" s="17"/>
      <c r="R570" s="38" t="e">
        <f>VLOOKUP((D571),'Pwr Factor'!$A$1:$B$52,2)</f>
        <v>#N/A</v>
      </c>
      <c r="S570" s="50">
        <v>0.5</v>
      </c>
      <c r="T570" s="17"/>
      <c r="U570" s="17"/>
      <c r="V570" s="17"/>
      <c r="W570" s="17"/>
      <c r="X570" s="17"/>
      <c r="Y570" s="17"/>
      <c r="Z570" s="17"/>
      <c r="AA570" s="17"/>
    </row>
    <row r="571" spans="1:29" ht="9.9499999999999993" customHeight="1" x14ac:dyDescent="0.2">
      <c r="A571" s="1" t="s">
        <v>149</v>
      </c>
      <c r="B571" s="103">
        <f>IF(AND('AES Indiana Bill Calc.'!$D$17="PL",'AES Indiana Bill Calc.'!$D$18="Yes 50%",'AES Indiana Bill Calc.'!$D$20="No"),'AES Indiana Bill Calc.'!$D$19,-1)</f>
        <v>-1</v>
      </c>
      <c r="C571" s="103">
        <f>MAX(E571,$C$562)</f>
        <v>500</v>
      </c>
      <c r="D571" s="103" t="b">
        <f>IF(AND('AES Indiana Bill Calc.'!$D$17="PL",'AES Indiana Bill Calc.'!$D$18="Yes 50%",'AES Indiana Bill Calc.'!$D$20="No"),'AES Indiana Bill Calc.'!$D$22)</f>
        <v>0</v>
      </c>
      <c r="E571" s="103" t="b">
        <f>IF(AND('AES Indiana Bill Calc.'!$D$17="PL",'AES Indiana Bill Calc.'!$D$18="Yes 50%",'AES Indiana Bill Calc.'!$D$20="No"),'AES Indiana Bill Calc.'!$D$21)</f>
        <v>0</v>
      </c>
      <c r="F571" s="36" t="s">
        <v>62</v>
      </c>
      <c r="G571" s="42" t="e">
        <f>SUM(J571:M571,R571:AA571)</f>
        <v>#N/A</v>
      </c>
      <c r="H571" s="19" t="e">
        <f>IF(ISBLANK(B571),0,+#REF!/B571)</f>
        <v>#REF!</v>
      </c>
      <c r="I571" s="19"/>
      <c r="J571" s="109">
        <f>IF(ISBLANK(B571),0,+J$564)</f>
        <v>130</v>
      </c>
      <c r="K571" s="92">
        <f>ROUND($B571*K$564,2)</f>
        <v>-0.04</v>
      </c>
      <c r="L571" s="92">
        <f>IF($C571&gt;L$565,ROUND(L$565*L$564,2),ROUND($C571*L$564,2))</f>
        <v>14150</v>
      </c>
      <c r="M571" s="92">
        <f>IF($C571&gt;L$565,ROUND(($C571-L$565)*M$564,2),0)</f>
        <v>0</v>
      </c>
      <c r="N571" s="92">
        <f>K571</f>
        <v>-0.04</v>
      </c>
      <c r="O571" s="92"/>
      <c r="P571" s="92"/>
      <c r="Q571" s="92">
        <f>SUM(L571:M571)</f>
        <v>14150</v>
      </c>
      <c r="R571" s="110" t="e">
        <f>ROUND(SUM(K571:M571)*(R570-1),2)</f>
        <v>#N/A</v>
      </c>
      <c r="S571" s="92">
        <f>ROUND($B571*S$564*S570,2)</f>
        <v>0</v>
      </c>
      <c r="T571" s="92">
        <f t="shared" ref="T571:AA571" si="37">ROUND($B571*T$564,2)</f>
        <v>0</v>
      </c>
      <c r="U571" s="92">
        <f t="shared" si="37"/>
        <v>0</v>
      </c>
      <c r="V571" s="92">
        <f t="shared" si="37"/>
        <v>-0.01</v>
      </c>
      <c r="W571" s="92">
        <f t="shared" si="37"/>
        <v>0</v>
      </c>
      <c r="X571" s="92">
        <f t="shared" si="37"/>
        <v>0</v>
      </c>
      <c r="Y571" s="92">
        <f t="shared" si="37"/>
        <v>0</v>
      </c>
      <c r="Z571" s="92">
        <f t="shared" si="37"/>
        <v>0</v>
      </c>
      <c r="AA571" s="92">
        <f t="shared" si="37"/>
        <v>0</v>
      </c>
      <c r="AB571" s="19">
        <f>SUM(U566:AA566)</f>
        <v>133</v>
      </c>
      <c r="AC571" s="105" t="str">
        <f>+F571</f>
        <v>PL</v>
      </c>
    </row>
    <row r="572" spans="1:29" x14ac:dyDescent="0.2">
      <c r="A572" s="9"/>
      <c r="B572" s="103">
        <v>-1</v>
      </c>
      <c r="C572" s="9"/>
      <c r="D572" s="8"/>
      <c r="F572" s="36"/>
      <c r="G572" s="17"/>
      <c r="H572" s="19"/>
      <c r="I572" s="19"/>
      <c r="J572" s="8"/>
      <c r="K572" s="17"/>
      <c r="L572" s="17"/>
      <c r="M572" s="17"/>
      <c r="N572" s="17"/>
      <c r="O572" s="17"/>
      <c r="P572" s="17"/>
      <c r="Q572" s="17"/>
      <c r="R572" s="38" t="e">
        <f>VLOOKUP((D573),'Pwr Factor'!$A$1:$B$52,2)</f>
        <v>#N/A</v>
      </c>
      <c r="S572" s="50">
        <v>0.25</v>
      </c>
      <c r="T572" s="17"/>
      <c r="U572" s="17"/>
      <c r="V572" s="17"/>
      <c r="W572" s="17"/>
      <c r="X572" s="17"/>
      <c r="Y572" s="17"/>
      <c r="Z572" s="17"/>
      <c r="AA572" s="17"/>
    </row>
    <row r="573" spans="1:29" x14ac:dyDescent="0.2">
      <c r="A573" s="1" t="s">
        <v>150</v>
      </c>
      <c r="B573" s="103">
        <f>IF(AND('AES Indiana Bill Calc.'!$D$17="PL",'AES Indiana Bill Calc.'!$D$18="Yes 25%",'AES Indiana Bill Calc.'!$D$20="No"),'AES Indiana Bill Calc.'!$D$19,-1)</f>
        <v>-1</v>
      </c>
      <c r="C573" s="103">
        <f>MAX(E573,$C$562)</f>
        <v>500</v>
      </c>
      <c r="D573" s="103" t="b">
        <f>IF(AND('AES Indiana Bill Calc.'!$D$17="PL",'AES Indiana Bill Calc.'!$D$18="Yes 25%",'AES Indiana Bill Calc.'!$D$20="No"),'AES Indiana Bill Calc.'!$D$22)</f>
        <v>0</v>
      </c>
      <c r="E573" s="103" t="b">
        <f>IF(AND('AES Indiana Bill Calc.'!$D$17="PL",'AES Indiana Bill Calc.'!$D$18="Yes 25%",'AES Indiana Bill Calc.'!$D$20="No"),'AES Indiana Bill Calc.'!$D$21)</f>
        <v>0</v>
      </c>
      <c r="F573" s="36" t="s">
        <v>62</v>
      </c>
      <c r="G573" s="42" t="e">
        <f>SUM(J573:M573,R573:AA573)</f>
        <v>#N/A</v>
      </c>
      <c r="H573" s="19" t="e">
        <f>IF(ISBLANK(B573),0,+#REF!/B573)</f>
        <v>#REF!</v>
      </c>
      <c r="I573" s="19"/>
      <c r="J573" s="109">
        <f>IF(ISBLANK(B573),0,+J$564)</f>
        <v>130</v>
      </c>
      <c r="K573" s="92">
        <f>ROUND($B573*K$564,2)</f>
        <v>-0.04</v>
      </c>
      <c r="L573" s="92">
        <f>IF($C573&gt;L$565,ROUND(L$565*L$564,2),ROUND($C573*L$564,2))</f>
        <v>14150</v>
      </c>
      <c r="M573" s="92">
        <f>IF($C573&gt;L$565,ROUND(($C573-L$565)*M$564,2),0)</f>
        <v>0</v>
      </c>
      <c r="N573" s="92">
        <f>K573</f>
        <v>-0.04</v>
      </c>
      <c r="O573" s="92"/>
      <c r="P573" s="92"/>
      <c r="Q573" s="92">
        <f>SUM(L573:M573)</f>
        <v>14150</v>
      </c>
      <c r="R573" s="110" t="e">
        <f>ROUND(SUM(K573:M573)*(R572-1),2)</f>
        <v>#N/A</v>
      </c>
      <c r="S573" s="92">
        <f>ROUND($B573*S$564*S572,2)</f>
        <v>0</v>
      </c>
      <c r="T573" s="92">
        <f t="shared" ref="T573:AA573" si="38">ROUND($B573*T$564,2)</f>
        <v>0</v>
      </c>
      <c r="U573" s="92">
        <f t="shared" si="38"/>
        <v>0</v>
      </c>
      <c r="V573" s="92">
        <f t="shared" si="38"/>
        <v>-0.01</v>
      </c>
      <c r="W573" s="92">
        <f t="shared" si="38"/>
        <v>0</v>
      </c>
      <c r="X573" s="92">
        <f t="shared" si="38"/>
        <v>0</v>
      </c>
      <c r="Y573" s="92">
        <f t="shared" si="38"/>
        <v>0</v>
      </c>
      <c r="Z573" s="92">
        <f t="shared" si="38"/>
        <v>0</v>
      </c>
      <c r="AA573" s="92">
        <f t="shared" si="38"/>
        <v>0</v>
      </c>
      <c r="AB573" s="19">
        <f>SUM(U568:AA568)</f>
        <v>0</v>
      </c>
      <c r="AC573" s="105" t="str">
        <f>+F573</f>
        <v>PL</v>
      </c>
    </row>
    <row r="574" spans="1:29" x14ac:dyDescent="0.2">
      <c r="A574" s="9"/>
      <c r="B574" s="103">
        <v>-1</v>
      </c>
      <c r="C574" s="9"/>
      <c r="D574" s="8"/>
      <c r="F574" s="36"/>
      <c r="G574" s="17"/>
      <c r="H574" s="19"/>
      <c r="I574" s="19"/>
      <c r="J574" s="8"/>
      <c r="K574" s="17"/>
      <c r="L574" s="17"/>
      <c r="M574" s="17"/>
      <c r="N574" s="17"/>
      <c r="O574" s="17"/>
      <c r="P574" s="17"/>
      <c r="Q574" s="17"/>
      <c r="R574" s="38" t="e">
        <f>VLOOKUP((D575),'Pwr Factor'!$A$1:$B$52,2)</f>
        <v>#N/A</v>
      </c>
      <c r="S574" s="50">
        <v>0.1</v>
      </c>
      <c r="T574" s="17"/>
      <c r="U574" s="17"/>
      <c r="V574" s="17"/>
      <c r="W574" s="17"/>
      <c r="X574" s="17"/>
      <c r="Y574" s="17"/>
      <c r="Z574" s="17"/>
      <c r="AA574" s="17"/>
    </row>
    <row r="575" spans="1:29" x14ac:dyDescent="0.2">
      <c r="A575" s="1" t="s">
        <v>164</v>
      </c>
      <c r="B575" s="103">
        <f>IF(AND('AES Indiana Bill Calc.'!$D$17="PL",'AES Indiana Bill Calc.'!$D$18="Yes 10%",'AES Indiana Bill Calc.'!$D$20="No"),'AES Indiana Bill Calc.'!$D$19,-1)</f>
        <v>-1</v>
      </c>
      <c r="C575" s="103">
        <f>MAX(E575,$C$562)</f>
        <v>500</v>
      </c>
      <c r="D575" s="103" t="b">
        <f>IF(AND('AES Indiana Bill Calc.'!$D$17="PL",'AES Indiana Bill Calc.'!$D$18="Yes 10%",'AES Indiana Bill Calc.'!$D$20="No"),'AES Indiana Bill Calc.'!$D$22)</f>
        <v>0</v>
      </c>
      <c r="E575" s="103" t="b">
        <f>IF(AND('AES Indiana Bill Calc.'!$D$17="PL",'AES Indiana Bill Calc.'!$D$18="Yes 10%",'AES Indiana Bill Calc.'!$D$20="No"),'AES Indiana Bill Calc.'!$D$21)</f>
        <v>0</v>
      </c>
      <c r="F575" s="36" t="s">
        <v>62</v>
      </c>
      <c r="G575" s="42" t="e">
        <f>SUM(J575:M575,R575:AA575)</f>
        <v>#N/A</v>
      </c>
      <c r="H575" s="19" t="e">
        <f>IF(ISBLANK(B575),0,+#REF!/B575)</f>
        <v>#REF!</v>
      </c>
      <c r="I575" s="19"/>
      <c r="J575" s="109">
        <f>IF(ISBLANK(B575),0,+J$564)</f>
        <v>130</v>
      </c>
      <c r="K575" s="92">
        <f>ROUND($B575*K$564,2)</f>
        <v>-0.04</v>
      </c>
      <c r="L575" s="92">
        <f>IF($C575&gt;L$565,ROUND(L$565*L$564,2),ROUND($C575*L$564,2))</f>
        <v>14150</v>
      </c>
      <c r="M575" s="92">
        <f>IF($C575&gt;L$565,ROUND(($C575-L$565)*M$564,2),0)</f>
        <v>0</v>
      </c>
      <c r="N575" s="92">
        <f>K575</f>
        <v>-0.04</v>
      </c>
      <c r="O575" s="92"/>
      <c r="P575" s="92"/>
      <c r="Q575" s="92">
        <f>SUM(L575:M575)</f>
        <v>14150</v>
      </c>
      <c r="R575" s="110" t="e">
        <f>ROUND(SUM(K575:M575)*(R574-1),2)</f>
        <v>#N/A</v>
      </c>
      <c r="S575" s="92">
        <f>ROUND($B575*S$564*S574,2)</f>
        <v>0</v>
      </c>
      <c r="T575" s="92">
        <f t="shared" ref="T575:AA575" si="39">ROUND($B575*T$564,2)</f>
        <v>0</v>
      </c>
      <c r="U575" s="92">
        <f t="shared" si="39"/>
        <v>0</v>
      </c>
      <c r="V575" s="92">
        <f t="shared" si="39"/>
        <v>-0.01</v>
      </c>
      <c r="W575" s="92">
        <f t="shared" si="39"/>
        <v>0</v>
      </c>
      <c r="X575" s="92">
        <f t="shared" si="39"/>
        <v>0</v>
      </c>
      <c r="Y575" s="92">
        <f t="shared" si="39"/>
        <v>0</v>
      </c>
      <c r="Z575" s="92">
        <f t="shared" si="39"/>
        <v>0</v>
      </c>
      <c r="AA575" s="92">
        <f t="shared" si="39"/>
        <v>0</v>
      </c>
      <c r="AB575" s="19">
        <f>SUM(U570:AA570)</f>
        <v>0</v>
      </c>
      <c r="AC575" s="105" t="str">
        <f>+F575</f>
        <v>PL</v>
      </c>
    </row>
    <row r="576" spans="1:29" x14ac:dyDescent="0.2">
      <c r="A576" s="9"/>
      <c r="B576" s="103">
        <v>-1</v>
      </c>
      <c r="C576" s="9"/>
      <c r="D576" s="8"/>
      <c r="F576" s="36"/>
      <c r="G576" s="17"/>
      <c r="H576" s="19"/>
      <c r="I576" s="19"/>
      <c r="J576" s="8"/>
      <c r="K576" s="17"/>
      <c r="L576" s="17"/>
      <c r="M576" s="17"/>
      <c r="N576" s="17"/>
      <c r="O576" s="17"/>
      <c r="P576" s="17"/>
      <c r="Q576" s="17"/>
      <c r="R576" s="38" t="e">
        <f>VLOOKUP((D577),'Pwr Factor'!$A$1:$B$52,2)</f>
        <v>#N/A</v>
      </c>
      <c r="S576" s="50">
        <v>0</v>
      </c>
      <c r="T576" s="17"/>
      <c r="U576" s="17"/>
      <c r="V576" s="17"/>
      <c r="W576" s="17"/>
      <c r="X576" s="17"/>
      <c r="Y576" s="17"/>
      <c r="Z576" s="17"/>
      <c r="AA576" s="17"/>
    </row>
    <row r="577" spans="1:29" x14ac:dyDescent="0.2">
      <c r="A577" s="1" t="s">
        <v>147</v>
      </c>
      <c r="B577" s="103">
        <f>IF(AND('AES Indiana Bill Calc.'!$D$17="PL",'AES Indiana Bill Calc.'!$D$18="No",'AES Indiana Bill Calc.'!$D$20="No"),'AES Indiana Bill Calc.'!$D$19,-1)</f>
        <v>-1</v>
      </c>
      <c r="C577" s="103">
        <f>MAX(E577,$C$562)</f>
        <v>500</v>
      </c>
      <c r="D577" s="103" t="b">
        <f>IF(AND('AES Indiana Bill Calc.'!$D$17="PL",'AES Indiana Bill Calc.'!$D$18="No",'AES Indiana Bill Calc.'!$D$20="No"),'AES Indiana Bill Calc.'!$D$22)</f>
        <v>0</v>
      </c>
      <c r="E577" s="103" t="b">
        <f>IF(AND('AES Indiana Bill Calc.'!$D$17="PL",'AES Indiana Bill Calc.'!$D$18="No",'AES Indiana Bill Calc.'!$D$20="No"),'AES Indiana Bill Calc.'!$D$21)</f>
        <v>0</v>
      </c>
      <c r="F577" s="36" t="s">
        <v>62</v>
      </c>
      <c r="G577" s="42" t="e">
        <f>SUM(J577:M577,R577:AA577)</f>
        <v>#N/A</v>
      </c>
      <c r="H577" s="19" t="e">
        <f>IF(ISBLANK(B577),0,+#REF!/B577)</f>
        <v>#REF!</v>
      </c>
      <c r="I577" s="19"/>
      <c r="J577" s="109">
        <f>IF(ISBLANK(B577),0,+J$564)</f>
        <v>130</v>
      </c>
      <c r="K577" s="92">
        <f>ROUND($B577*K$564,2)</f>
        <v>-0.04</v>
      </c>
      <c r="L577" s="92">
        <f>IF($C577&gt;L$565,ROUND(L$565*L$564,2),ROUND($C577*L$564,2))</f>
        <v>14150</v>
      </c>
      <c r="M577" s="92">
        <f>IF($C577&gt;L$565,ROUND(($C577-L$565)*M$564,2),0)</f>
        <v>0</v>
      </c>
      <c r="N577" s="92">
        <f>K577</f>
        <v>-0.04</v>
      </c>
      <c r="O577" s="92"/>
      <c r="P577" s="92"/>
      <c r="Q577" s="92">
        <f>SUM(L577:M577)</f>
        <v>14150</v>
      </c>
      <c r="R577" s="110" t="e">
        <f>ROUND(SUM(K577:M577)*(R576-1),2)</f>
        <v>#N/A</v>
      </c>
      <c r="S577" s="92">
        <f>ROUND($B577*S$564*S576,2)</f>
        <v>0</v>
      </c>
      <c r="T577" s="92">
        <f t="shared" ref="T577:AA577" si="40">ROUND($B577*T$564,2)</f>
        <v>0</v>
      </c>
      <c r="U577" s="92">
        <f t="shared" si="40"/>
        <v>0</v>
      </c>
      <c r="V577" s="92">
        <f t="shared" si="40"/>
        <v>-0.01</v>
      </c>
      <c r="W577" s="92">
        <f t="shared" si="40"/>
        <v>0</v>
      </c>
      <c r="X577" s="92">
        <f t="shared" si="40"/>
        <v>0</v>
      </c>
      <c r="Y577" s="92">
        <f t="shared" si="40"/>
        <v>0</v>
      </c>
      <c r="Z577" s="92">
        <f t="shared" si="40"/>
        <v>0</v>
      </c>
      <c r="AA577" s="92">
        <f t="shared" si="40"/>
        <v>0</v>
      </c>
      <c r="AB577" s="19">
        <f>SUM(U572:AA572)</f>
        <v>0</v>
      </c>
      <c r="AC577" s="105" t="str">
        <f>+F577</f>
        <v>PL</v>
      </c>
    </row>
    <row r="578" spans="1:29" x14ac:dyDescent="0.2">
      <c r="A578" s="9"/>
      <c r="B578" s="103">
        <v>-1</v>
      </c>
      <c r="C578" s="9"/>
      <c r="D578" s="8"/>
      <c r="F578" s="36"/>
      <c r="G578" s="17"/>
      <c r="H578" s="19"/>
      <c r="I578" s="19"/>
      <c r="J578" s="8"/>
      <c r="K578" s="17"/>
      <c r="L578" s="17"/>
      <c r="M578" s="17"/>
      <c r="N578" s="17"/>
      <c r="O578" s="17"/>
      <c r="P578" s="17"/>
      <c r="Q578" s="17"/>
      <c r="R578" s="38" t="e">
        <f>VLOOKUP((D579),'Pwr Factor'!$A$1:$B$52,2)</f>
        <v>#N/A</v>
      </c>
      <c r="S578" s="50">
        <v>1</v>
      </c>
      <c r="T578" s="17"/>
      <c r="U578" s="17"/>
      <c r="V578" s="17"/>
      <c r="W578" s="17"/>
      <c r="X578" s="17"/>
      <c r="Y578" s="17"/>
      <c r="Z578" s="17"/>
      <c r="AA578" s="17"/>
    </row>
    <row r="579" spans="1:29" x14ac:dyDescent="0.2">
      <c r="A579" s="1" t="s">
        <v>148</v>
      </c>
      <c r="B579" s="103">
        <f>IF(AND('AES Indiana Bill Calc.'!$D$17="PL",'AES Indiana Bill Calc.'!$D$18="Yes 100%",'AES Indiana Bill Calc.'!$D$20="Yes Before 2018"),'AES Indiana Bill Calc.'!$D$19,-1)</f>
        <v>-1</v>
      </c>
      <c r="C579" s="103">
        <f>MAX(E579,$C$562)</f>
        <v>500</v>
      </c>
      <c r="D579" s="103" t="b">
        <f>IF(AND('AES Indiana Bill Calc.'!$D$17="PL",'AES Indiana Bill Calc.'!$D$18="Yes 100%",'AES Indiana Bill Calc.'!$D$20="Yes Before 2018"),'AES Indiana Bill Calc.'!$D$22)</f>
        <v>0</v>
      </c>
      <c r="E579" s="103" t="b">
        <f>IF(AND('AES Indiana Bill Calc.'!$D$17="PL",'AES Indiana Bill Calc.'!$D$18="Yes 100%",'AES Indiana Bill Calc.'!$D$20="Yes Before 2018"),'AES Indiana Bill Calc.'!$D$21)</f>
        <v>0</v>
      </c>
      <c r="F579" s="36" t="s">
        <v>213</v>
      </c>
      <c r="G579" s="42" t="e">
        <f>SUM(J579:M579,R579:AA579)</f>
        <v>#N/A</v>
      </c>
      <c r="H579" s="19" t="e">
        <f>IF(ISBLANK(B579),0,+#REF!/B579)</f>
        <v>#REF!</v>
      </c>
      <c r="I579" s="19"/>
      <c r="J579" s="109">
        <f>IF(ISBLANK(B579),0,+J$564)</f>
        <v>130</v>
      </c>
      <c r="K579" s="92">
        <f>ROUND($B579*K$564,2)</f>
        <v>-0.04</v>
      </c>
      <c r="L579" s="92">
        <f>IF($C579&gt;L$565,ROUND(L$565*L$564,2),ROUND($C579*L$564,2))</f>
        <v>14150</v>
      </c>
      <c r="M579" s="92">
        <f>IF($C579&gt;L$565,ROUND(($C579-L$565)*M$564,2),0)</f>
        <v>0</v>
      </c>
      <c r="N579" s="92">
        <f>K579</f>
        <v>-0.04</v>
      </c>
      <c r="O579" s="92"/>
      <c r="P579" s="92"/>
      <c r="Q579" s="92">
        <f>SUM(L579:M579)</f>
        <v>14150</v>
      </c>
      <c r="R579" s="110" t="e">
        <f>ROUND(SUM(K579:M579)*(R578-1),2)</f>
        <v>#N/A</v>
      </c>
      <c r="S579" s="92">
        <f>ROUND($B579*S$564*S578,2)</f>
        <v>0</v>
      </c>
      <c r="T579" s="92">
        <f>ROUND($B579*T$564,2)</f>
        <v>0</v>
      </c>
      <c r="U579" s="92">
        <f>ROUND($B579*U$564,2)</f>
        <v>0</v>
      </c>
      <c r="V579" s="92">
        <f>ROUND($B579*V$556,2)</f>
        <v>0</v>
      </c>
      <c r="W579" s="92">
        <f>ROUND($B579*W$564,2)</f>
        <v>0</v>
      </c>
      <c r="X579" s="92">
        <f>ROUND($B579*X$564,2)</f>
        <v>0</v>
      </c>
      <c r="Y579" s="92">
        <f>ROUND($B579*Y$564,2)</f>
        <v>0</v>
      </c>
      <c r="Z579" s="92">
        <f>ROUND($B579*Z$564,2)</f>
        <v>0</v>
      </c>
      <c r="AA579" s="92">
        <f>ROUND($B579*AA$564,2)</f>
        <v>0</v>
      </c>
      <c r="AB579" s="19">
        <f>SUM(U574:AA574)</f>
        <v>0</v>
      </c>
      <c r="AC579" s="105" t="str">
        <f>+F579</f>
        <v>PL7</v>
      </c>
    </row>
    <row r="580" spans="1:29" x14ac:dyDescent="0.2">
      <c r="A580" s="9"/>
      <c r="B580" s="103">
        <v>-1</v>
      </c>
      <c r="C580" s="9"/>
      <c r="D580" s="8"/>
      <c r="F580" s="36"/>
      <c r="G580" s="17"/>
      <c r="H580" s="19"/>
      <c r="I580" s="19"/>
      <c r="J580" s="8"/>
      <c r="K580" s="17"/>
      <c r="L580" s="17"/>
      <c r="M580" s="17"/>
      <c r="N580" s="17"/>
      <c r="O580" s="17"/>
      <c r="P580" s="17"/>
      <c r="Q580" s="17"/>
      <c r="R580" s="38" t="e">
        <f>VLOOKUP((D581),'Pwr Factor'!$A$1:$B$52,2)</f>
        <v>#N/A</v>
      </c>
      <c r="S580" s="50">
        <v>0.5</v>
      </c>
      <c r="T580" s="17"/>
      <c r="U580" s="17"/>
      <c r="V580" s="17"/>
      <c r="W580" s="17"/>
      <c r="X580" s="17"/>
      <c r="Y580" s="17"/>
      <c r="Z580" s="17"/>
      <c r="AA580" s="17"/>
    </row>
    <row r="581" spans="1:29" x14ac:dyDescent="0.2">
      <c r="A581" s="1" t="s">
        <v>149</v>
      </c>
      <c r="B581" s="103">
        <f>IF(AND('AES Indiana Bill Calc.'!$D$17="PL",'AES Indiana Bill Calc.'!$D$18="Yes 50%",'AES Indiana Bill Calc.'!$D$20="Yes Before 2018"),'AES Indiana Bill Calc.'!$D$19,-1)</f>
        <v>-1</v>
      </c>
      <c r="C581" s="103">
        <f>MAX(E581,$C$562)</f>
        <v>500</v>
      </c>
      <c r="D581" s="103" t="b">
        <f>IF(AND('AES Indiana Bill Calc.'!$D$17="PL",'AES Indiana Bill Calc.'!$D$18="Yes 50%",'AES Indiana Bill Calc.'!$D$20="Yes Before 2018"),'AES Indiana Bill Calc.'!$D$22)</f>
        <v>0</v>
      </c>
      <c r="E581" s="103" t="b">
        <f>IF(AND('AES Indiana Bill Calc.'!$D$17="PL",'AES Indiana Bill Calc.'!$D$18="Yes 50%",'AES Indiana Bill Calc.'!$D$20="Yes Before 2018"),'AES Indiana Bill Calc.'!$D$21)</f>
        <v>0</v>
      </c>
      <c r="F581" s="36" t="s">
        <v>213</v>
      </c>
      <c r="G581" s="42" t="e">
        <f>SUM(J581:M581,R581:AA581)</f>
        <v>#N/A</v>
      </c>
      <c r="H581" s="19" t="e">
        <f>IF(ISBLANK(B581),0,+#REF!/B581)</f>
        <v>#REF!</v>
      </c>
      <c r="I581" s="19"/>
      <c r="J581" s="109">
        <f>IF(ISBLANK(B581),0,+J$564)</f>
        <v>130</v>
      </c>
      <c r="K581" s="92">
        <f>ROUND($B581*K$564,2)</f>
        <v>-0.04</v>
      </c>
      <c r="L581" s="92">
        <f>IF($C581&gt;L$565,ROUND(L$565*L$564,2),ROUND($C581*L$564,2))</f>
        <v>14150</v>
      </c>
      <c r="M581" s="92">
        <f>IF($C581&gt;L$565,ROUND(($C581-L$565)*M$564,2),0)</f>
        <v>0</v>
      </c>
      <c r="N581" s="92">
        <f>K581</f>
        <v>-0.04</v>
      </c>
      <c r="O581" s="92"/>
      <c r="P581" s="92"/>
      <c r="Q581" s="92">
        <f>SUM(L581:M581)</f>
        <v>14150</v>
      </c>
      <c r="R581" s="110" t="e">
        <f>ROUND(SUM(K581:M581)*(R580-1),2)</f>
        <v>#N/A</v>
      </c>
      <c r="S581" s="92">
        <f>ROUND($B581*S$564*S580,2)</f>
        <v>0</v>
      </c>
      <c r="T581" s="92">
        <f>ROUND($B581*T$564,2)</f>
        <v>0</v>
      </c>
      <c r="U581" s="92">
        <f>ROUND($B581*U$564,2)</f>
        <v>0</v>
      </c>
      <c r="V581" s="92">
        <f>ROUND($B581*V$556,2)</f>
        <v>0</v>
      </c>
      <c r="W581" s="92">
        <f>ROUND($B581*W$564,2)</f>
        <v>0</v>
      </c>
      <c r="X581" s="92">
        <f>ROUND($B581*X$564,2)</f>
        <v>0</v>
      </c>
      <c r="Y581" s="92">
        <f>ROUND($B581*Y$564,2)</f>
        <v>0</v>
      </c>
      <c r="Z581" s="92">
        <f>ROUND($B581*Z$564,2)</f>
        <v>0</v>
      </c>
      <c r="AA581" s="92">
        <f>ROUND($B581*AA$564,2)</f>
        <v>0</v>
      </c>
      <c r="AB581" s="19">
        <f>SUM(U576:AA576)</f>
        <v>0</v>
      </c>
      <c r="AC581" s="105" t="str">
        <f>+F581</f>
        <v>PL7</v>
      </c>
    </row>
    <row r="582" spans="1:29" x14ac:dyDescent="0.2">
      <c r="A582" s="9"/>
      <c r="B582" s="103">
        <v>-1</v>
      </c>
      <c r="C582" s="9"/>
      <c r="D582" s="8"/>
      <c r="F582" s="36"/>
      <c r="G582" s="17"/>
      <c r="H582" s="19"/>
      <c r="I582" s="19"/>
      <c r="J582" s="8"/>
      <c r="K582" s="17"/>
      <c r="L582" s="17"/>
      <c r="M582" s="17"/>
      <c r="N582" s="17"/>
      <c r="O582" s="17"/>
      <c r="P582" s="17"/>
      <c r="Q582" s="17"/>
      <c r="R582" s="38" t="e">
        <f>VLOOKUP((D583),'Pwr Factor'!$A$1:$B$52,2)</f>
        <v>#N/A</v>
      </c>
      <c r="S582" s="50">
        <v>0.25</v>
      </c>
      <c r="T582" s="17"/>
      <c r="U582" s="17"/>
      <c r="V582" s="17"/>
      <c r="W582" s="17"/>
      <c r="X582" s="17"/>
      <c r="Y582" s="17"/>
      <c r="Z582" s="17"/>
      <c r="AA582" s="17"/>
    </row>
    <row r="583" spans="1:29" x14ac:dyDescent="0.2">
      <c r="A583" s="1" t="s">
        <v>150</v>
      </c>
      <c r="B583" s="103">
        <f>IF(AND('AES Indiana Bill Calc.'!$D$17="PL",'AES Indiana Bill Calc.'!$D$18="Yes 25%",'AES Indiana Bill Calc.'!$D$20="Yes Before 2018"),'AES Indiana Bill Calc.'!$D$19,-1)</f>
        <v>-1</v>
      </c>
      <c r="C583" s="103">
        <f>MAX(E583,$C$562)</f>
        <v>500</v>
      </c>
      <c r="D583" s="103" t="b">
        <f>IF(AND('AES Indiana Bill Calc.'!$D$17="PL",'AES Indiana Bill Calc.'!$D$18="Yes 25%",'AES Indiana Bill Calc.'!$D$20="Yes Before 2018"),'AES Indiana Bill Calc.'!$D$22)</f>
        <v>0</v>
      </c>
      <c r="E583" s="103" t="b">
        <f>IF(AND('AES Indiana Bill Calc.'!$D$17="PL",'AES Indiana Bill Calc.'!$D$18="Yes 25%",'AES Indiana Bill Calc.'!$D$20="Yes Before 2018"),'AES Indiana Bill Calc.'!$D$21)</f>
        <v>0</v>
      </c>
      <c r="F583" s="36" t="s">
        <v>213</v>
      </c>
      <c r="G583" s="42" t="e">
        <f>SUM(J583:M583,R583:AA583)</f>
        <v>#N/A</v>
      </c>
      <c r="H583" s="19" t="e">
        <f>IF(ISBLANK(B583),0,+#REF!/B583)</f>
        <v>#REF!</v>
      </c>
      <c r="I583" s="19"/>
      <c r="J583" s="109">
        <f>IF(ISBLANK(B583),0,+J$564)</f>
        <v>130</v>
      </c>
      <c r="K583" s="92">
        <f>ROUND($B583*K$564,2)</f>
        <v>-0.04</v>
      </c>
      <c r="L583" s="92">
        <f>IF($C583&gt;L$565,ROUND(L$565*L$564,2),ROUND($C583*L$564,2))</f>
        <v>14150</v>
      </c>
      <c r="M583" s="92">
        <f>IF($C583&gt;L$565,ROUND(($C583-L$565)*M$564,2),0)</f>
        <v>0</v>
      </c>
      <c r="N583" s="92">
        <f>K583</f>
        <v>-0.04</v>
      </c>
      <c r="O583" s="92"/>
      <c r="P583" s="92"/>
      <c r="Q583" s="92">
        <f>SUM(L583:M583)</f>
        <v>14150</v>
      </c>
      <c r="R583" s="110" t="e">
        <f>ROUND(SUM(K583:M583)*(R582-1),2)</f>
        <v>#N/A</v>
      </c>
      <c r="S583" s="92">
        <f>ROUND($B583*S$564*S582,2)</f>
        <v>0</v>
      </c>
      <c r="T583" s="92">
        <f>ROUND($B583*T$564,2)</f>
        <v>0</v>
      </c>
      <c r="U583" s="92">
        <f>ROUND($B583*U$564,2)</f>
        <v>0</v>
      </c>
      <c r="V583" s="92">
        <f>ROUND($B583*V$556,2)</f>
        <v>0</v>
      </c>
      <c r="W583" s="92">
        <f>ROUND($B583*W$564,2)</f>
        <v>0</v>
      </c>
      <c r="X583" s="92">
        <f>ROUND($B583*X$564,2)</f>
        <v>0</v>
      </c>
      <c r="Y583" s="92">
        <f>ROUND($B583*Y$564,2)</f>
        <v>0</v>
      </c>
      <c r="Z583" s="92">
        <f>ROUND($B583*Z$564,2)</f>
        <v>0</v>
      </c>
      <c r="AA583" s="92">
        <f>ROUND($B583*AA$564,2)</f>
        <v>0</v>
      </c>
      <c r="AB583" s="19">
        <f>SUM(U578:AA578)</f>
        <v>0</v>
      </c>
      <c r="AC583" s="105" t="str">
        <f>+F583</f>
        <v>PL7</v>
      </c>
    </row>
    <row r="584" spans="1:29" x14ac:dyDescent="0.2">
      <c r="A584" s="9"/>
      <c r="B584" s="103">
        <v>-1</v>
      </c>
      <c r="D584" s="8"/>
      <c r="E584" s="9"/>
      <c r="F584" s="36"/>
      <c r="G584" s="17"/>
      <c r="H584" s="19"/>
      <c r="I584" s="19"/>
      <c r="J584" s="8"/>
      <c r="K584" s="17"/>
      <c r="L584" s="17"/>
      <c r="M584" s="17"/>
      <c r="N584" s="17"/>
      <c r="O584" s="17"/>
      <c r="P584" s="17"/>
      <c r="Q584" s="17"/>
      <c r="R584" s="38" t="e">
        <f>VLOOKUP((D585),'Pwr Factor'!$A$1:$B$52,2)</f>
        <v>#N/A</v>
      </c>
      <c r="S584" s="50">
        <v>0.1</v>
      </c>
      <c r="T584" s="17"/>
      <c r="U584" s="17"/>
      <c r="V584" s="17"/>
      <c r="W584" s="17"/>
      <c r="X584" s="17"/>
      <c r="Y584" s="17"/>
      <c r="Z584" s="17"/>
      <c r="AA584" s="17"/>
    </row>
    <row r="585" spans="1:29" x14ac:dyDescent="0.2">
      <c r="A585" s="1" t="s">
        <v>164</v>
      </c>
      <c r="B585" s="103">
        <f>IF(AND('AES Indiana Bill Calc.'!$D$17="PL",'AES Indiana Bill Calc.'!$D$18="Yes 10%",'AES Indiana Bill Calc.'!$D$20="Yes Before 2018"),'AES Indiana Bill Calc.'!$D$19,-1)</f>
        <v>-1</v>
      </c>
      <c r="C585" s="103">
        <f>MAX(E585,$C$562)</f>
        <v>500</v>
      </c>
      <c r="D585" s="103" t="b">
        <f>IF(AND('AES Indiana Bill Calc.'!$D$17="PL",'AES Indiana Bill Calc.'!$D$18="Yes 10%",'AES Indiana Bill Calc.'!$D$20="Yes Before 2018"),'AES Indiana Bill Calc.'!$D$22)</f>
        <v>0</v>
      </c>
      <c r="E585" s="103" t="b">
        <f>IF(AND('AES Indiana Bill Calc.'!$D$17="PL",'AES Indiana Bill Calc.'!$D$18="Yes 10%",'AES Indiana Bill Calc.'!$D$20="Yes Before 2018"),'AES Indiana Bill Calc.'!$D$21)</f>
        <v>0</v>
      </c>
      <c r="F585" s="36" t="s">
        <v>213</v>
      </c>
      <c r="G585" s="42" t="e">
        <f>SUM(J585:M585,R585:AA585)</f>
        <v>#N/A</v>
      </c>
      <c r="H585" s="19" t="e">
        <f>IF(ISBLANK(B585),0,+#REF!/B585)</f>
        <v>#REF!</v>
      </c>
      <c r="I585" s="19"/>
      <c r="J585" s="109">
        <f>IF(ISBLANK(B585),0,+J$564)</f>
        <v>130</v>
      </c>
      <c r="K585" s="92">
        <f>ROUND($B585*K$564,2)</f>
        <v>-0.04</v>
      </c>
      <c r="L585" s="92">
        <f>IF($C585&gt;L$565,ROUND(L$565*L$564,2),ROUND($C585*L$564,2))</f>
        <v>14150</v>
      </c>
      <c r="M585" s="92">
        <f>IF($C585&gt;L$565,ROUND(($C585-L$565)*M$564,2),0)</f>
        <v>0</v>
      </c>
      <c r="N585" s="92">
        <f>K585</f>
        <v>-0.04</v>
      </c>
      <c r="O585" s="92"/>
      <c r="P585" s="92"/>
      <c r="Q585" s="92">
        <f>SUM(L585:M585)</f>
        <v>14150</v>
      </c>
      <c r="R585" s="110" t="e">
        <f>ROUND(SUM(K585:M585)*(R584-1),2)</f>
        <v>#N/A</v>
      </c>
      <c r="S585" s="92">
        <f>ROUND($B585*S$564*S584,2)</f>
        <v>0</v>
      </c>
      <c r="T585" s="92">
        <f>ROUND($B585*T$564,2)</f>
        <v>0</v>
      </c>
      <c r="U585" s="92">
        <f>ROUND($B585*U$564,2)</f>
        <v>0</v>
      </c>
      <c r="V585" s="92">
        <f>ROUND($B585*V$556,2)</f>
        <v>0</v>
      </c>
      <c r="W585" s="92">
        <f>ROUND($B585*W$564,2)</f>
        <v>0</v>
      </c>
      <c r="X585" s="92">
        <f>ROUND($B585*X$564,2)</f>
        <v>0</v>
      </c>
      <c r="Y585" s="92">
        <f>ROUND($B585*Y$564,2)</f>
        <v>0</v>
      </c>
      <c r="Z585" s="92">
        <f>ROUND($B585*Z$564,2)</f>
        <v>0</v>
      </c>
      <c r="AA585" s="92">
        <f>ROUND($B585*AA$564,2)</f>
        <v>0</v>
      </c>
      <c r="AB585" s="19">
        <f>SUM(U580:AA580)</f>
        <v>0</v>
      </c>
      <c r="AC585" s="105" t="str">
        <f>+F585</f>
        <v>PL7</v>
      </c>
    </row>
    <row r="586" spans="1:29" x14ac:dyDescent="0.2">
      <c r="A586" s="9"/>
      <c r="B586" s="103">
        <v>-1</v>
      </c>
      <c r="D586" s="8"/>
      <c r="E586" s="9"/>
      <c r="F586" s="36"/>
      <c r="G586" s="17"/>
      <c r="H586" s="19"/>
      <c r="I586" s="19"/>
      <c r="J586" s="8"/>
      <c r="K586" s="17"/>
      <c r="L586" s="17"/>
      <c r="M586" s="17"/>
      <c r="N586" s="17"/>
      <c r="O586" s="17"/>
      <c r="P586" s="17"/>
      <c r="Q586" s="17"/>
      <c r="R586" s="38" t="e">
        <f>VLOOKUP((D587),'Pwr Factor'!$A$1:$B$52,2)</f>
        <v>#N/A</v>
      </c>
      <c r="S586" s="50">
        <v>0</v>
      </c>
      <c r="T586" s="17"/>
      <c r="U586" s="17"/>
      <c r="V586" s="17"/>
      <c r="W586" s="17"/>
      <c r="X586" s="17"/>
      <c r="Y586" s="17"/>
      <c r="Z586" s="17"/>
      <c r="AA586" s="17"/>
    </row>
    <row r="587" spans="1:29" x14ac:dyDescent="0.2">
      <c r="A587" s="1" t="s">
        <v>147</v>
      </c>
      <c r="B587" s="103">
        <f>IF(AND('AES Indiana Bill Calc.'!$D$17="PL",'AES Indiana Bill Calc.'!$D$18="No",'AES Indiana Bill Calc.'!$D$20="Yes Before 2018"),'AES Indiana Bill Calc.'!$D$19,-1)</f>
        <v>-1</v>
      </c>
      <c r="C587" s="103">
        <f>MAX(E587,$C$562)</f>
        <v>500</v>
      </c>
      <c r="D587" s="103" t="b">
        <f>IF(AND('AES Indiana Bill Calc.'!$D$17="PL",'AES Indiana Bill Calc.'!$D$18="No",'AES Indiana Bill Calc.'!$D$20="Yes Before 2018"),'AES Indiana Bill Calc.'!$D$22)</f>
        <v>0</v>
      </c>
      <c r="E587" s="103" t="b">
        <f>IF(AND('AES Indiana Bill Calc.'!$D$17="PL",'AES Indiana Bill Calc.'!$D$18="No",'AES Indiana Bill Calc.'!$D$20="Yes Before 2018"),'AES Indiana Bill Calc.'!$D$21)</f>
        <v>0</v>
      </c>
      <c r="F587" s="36" t="s">
        <v>213</v>
      </c>
      <c r="G587" s="42" t="e">
        <f>SUM(J587:M587,R587:AA587)</f>
        <v>#N/A</v>
      </c>
      <c r="H587" s="19" t="e">
        <f>IF(ISBLANK(B587),0,+#REF!/B587)</f>
        <v>#REF!</v>
      </c>
      <c r="I587" s="19"/>
      <c r="J587" s="109">
        <f>IF(ISBLANK(B587),0,+J$564)</f>
        <v>130</v>
      </c>
      <c r="K587" s="92">
        <f>ROUND($B587*K$564,2)</f>
        <v>-0.04</v>
      </c>
      <c r="L587" s="92">
        <f>IF($C587&gt;L$565,ROUND(L$565*L$564,2),ROUND($C587*L$564,2))</f>
        <v>14150</v>
      </c>
      <c r="M587" s="92">
        <f>IF($C587&gt;L$565,ROUND(($C587-L$565)*M$564,2),0)</f>
        <v>0</v>
      </c>
      <c r="N587" s="92">
        <f>K587</f>
        <v>-0.04</v>
      </c>
      <c r="O587" s="92"/>
      <c r="P587" s="92"/>
      <c r="Q587" s="92">
        <f>SUM(L587:M587)</f>
        <v>14150</v>
      </c>
      <c r="R587" s="110" t="e">
        <f>ROUND(SUM(K587:M587)*(R586-1),2)</f>
        <v>#N/A</v>
      </c>
      <c r="S587" s="92">
        <f>ROUND($B587*S$564*S586,2)</f>
        <v>0</v>
      </c>
      <c r="T587" s="92">
        <f>ROUND($B587*T$564,2)</f>
        <v>0</v>
      </c>
      <c r="U587" s="92">
        <f>ROUND($B587*U$564,2)</f>
        <v>0</v>
      </c>
      <c r="V587" s="92">
        <f>ROUND($B587*V$556,2)</f>
        <v>0</v>
      </c>
      <c r="W587" s="92">
        <f>ROUND($B587*W$564,2)</f>
        <v>0</v>
      </c>
      <c r="X587" s="92">
        <f>ROUND($B587*X$564,2)</f>
        <v>0</v>
      </c>
      <c r="Y587" s="92">
        <f>ROUND($B587*Y$564,2)</f>
        <v>0</v>
      </c>
      <c r="Z587" s="92">
        <f>ROUND($B587*Z$564,2)</f>
        <v>0</v>
      </c>
      <c r="AA587" s="92">
        <f>ROUND($B587*AA$564,2)</f>
        <v>0</v>
      </c>
      <c r="AB587" s="19">
        <f>SUM(U582:AA582)</f>
        <v>0</v>
      </c>
      <c r="AC587" s="105" t="str">
        <f>+F587</f>
        <v>PL7</v>
      </c>
    </row>
    <row r="588" spans="1:29" ht="13.5" customHeight="1" x14ac:dyDescent="0.2">
      <c r="B588" s="103">
        <v>-1</v>
      </c>
      <c r="D588" s="8"/>
      <c r="E588" s="9"/>
      <c r="F588" s="36"/>
      <c r="G588" s="17"/>
      <c r="H588" s="19"/>
      <c r="I588" s="19"/>
      <c r="J588" s="51"/>
      <c r="K588" s="17"/>
      <c r="L588" s="17"/>
      <c r="M588" s="17"/>
      <c r="N588" s="17"/>
      <c r="O588" s="17"/>
      <c r="P588" s="17"/>
      <c r="Q588" s="17"/>
      <c r="R588" s="38" t="e">
        <f>VLOOKUP((D589),'Pwr Factor'!$A$1:$B$52,2)</f>
        <v>#N/A</v>
      </c>
      <c r="S588" s="50">
        <v>1</v>
      </c>
      <c r="T588" s="17"/>
      <c r="U588" s="17"/>
      <c r="V588" s="8"/>
      <c r="W588" s="17"/>
      <c r="X588" s="17"/>
      <c r="Y588" s="17"/>
      <c r="Z588" s="17"/>
      <c r="AA588" s="17"/>
      <c r="AB588" s="19"/>
      <c r="AC588" s="67"/>
    </row>
    <row r="589" spans="1:29" x14ac:dyDescent="0.2">
      <c r="A589" s="1" t="s">
        <v>148</v>
      </c>
      <c r="B589" s="103">
        <f>IF(AND('AES Indiana Bill Calc.'!$D$17="PL",'AES Indiana Bill Calc.'!$D$18="Yes 100%",'AES Indiana Bill Calc.'!$D$20="Yes 2018"),'AES Indiana Bill Calc.'!$D$19,-1)</f>
        <v>-1</v>
      </c>
      <c r="C589" s="103">
        <f>MAX(E589,$C$562)</f>
        <v>500</v>
      </c>
      <c r="D589" s="103" t="b">
        <f>IF(AND('AES Indiana Bill Calc.'!$D$17="PL",'AES Indiana Bill Calc.'!$D$18="Yes 100%",'AES Indiana Bill Calc.'!$D$20="Yes 2018"),'AES Indiana Bill Calc.'!$D$22)</f>
        <v>0</v>
      </c>
      <c r="E589" s="103" t="b">
        <f>IF(AND('AES Indiana Bill Calc.'!$D$17="PL",'AES Indiana Bill Calc.'!$D$18="Yes 100%",'AES Indiana Bill Calc.'!$D$20="Yes 2018"),'AES Indiana Bill Calc.'!$D$21)</f>
        <v>0</v>
      </c>
      <c r="F589" s="36" t="s">
        <v>214</v>
      </c>
      <c r="G589" s="42" t="e">
        <f>SUM(J589:M589,R589:AA589)</f>
        <v>#N/A</v>
      </c>
      <c r="H589" s="19" t="e">
        <f>IF(ISBLANK(B589),0,+#REF!/B589)</f>
        <v>#REF!</v>
      </c>
      <c r="I589" s="19"/>
      <c r="J589" s="88">
        <f>IF(ISBLANK(B589),0,+J$564)</f>
        <v>130</v>
      </c>
      <c r="K589" s="42">
        <f>ROUND($B589*K$564,2)</f>
        <v>-0.04</v>
      </c>
      <c r="L589" s="92">
        <f>IF($C589&gt;L$565,ROUND(L$565*L$564,2),ROUND($C589*L$564,2))</f>
        <v>14150</v>
      </c>
      <c r="M589" s="92">
        <f>IF($C589&gt;L$565,ROUND(($C589-L$565)*M$564,2),0)</f>
        <v>0</v>
      </c>
      <c r="N589" s="92">
        <f>K589</f>
        <v>-0.04</v>
      </c>
      <c r="O589" s="42"/>
      <c r="P589" s="42"/>
      <c r="Q589" s="92">
        <f>SUM(L589:M589)</f>
        <v>14150</v>
      </c>
      <c r="R589" s="82" t="e">
        <f>ROUND(SUM(K589:M589)*(R588-1),2)</f>
        <v>#N/A</v>
      </c>
      <c r="S589" s="42">
        <f>ROUND($B589*S$564*S588,2)</f>
        <v>0</v>
      </c>
      <c r="T589" s="42">
        <f>ROUND($B589*T$564,2)</f>
        <v>0</v>
      </c>
      <c r="U589" s="42">
        <f>ROUND($B589*U$564,2)</f>
        <v>0</v>
      </c>
      <c r="V589" s="41">
        <f>ROUND($B589*V$557,2)</f>
        <v>0</v>
      </c>
      <c r="W589" s="42">
        <f>ROUND($B589*W$564,2)</f>
        <v>0</v>
      </c>
      <c r="X589" s="42">
        <f>ROUND($B589*X$564,2)</f>
        <v>0</v>
      </c>
      <c r="Y589" s="42">
        <f>ROUND($B589*Y$564,2)</f>
        <v>0</v>
      </c>
      <c r="Z589" s="42">
        <f>ROUND($B589*Z$564,2)</f>
        <v>0</v>
      </c>
      <c r="AA589" s="42">
        <f>ROUND($B589*AA$564,2)</f>
        <v>0</v>
      </c>
      <c r="AB589" s="19">
        <f>SUM(U$564:AA$564)+(-V$564+V557)</f>
        <v>2.3259999999999999E-3</v>
      </c>
      <c r="AC589" s="94" t="str">
        <f>+F589</f>
        <v>PL8</v>
      </c>
    </row>
    <row r="590" spans="1:29" x14ac:dyDescent="0.2">
      <c r="A590" s="9"/>
      <c r="B590" s="103">
        <v>-1</v>
      </c>
      <c r="D590" s="8"/>
      <c r="E590" s="9"/>
      <c r="F590" s="36"/>
      <c r="G590" s="17"/>
      <c r="H590" s="19"/>
      <c r="I590" s="19"/>
      <c r="J590" s="51"/>
      <c r="K590" s="17"/>
      <c r="L590" s="17"/>
      <c r="M590" s="17"/>
      <c r="N590" s="17"/>
      <c r="O590" s="17"/>
      <c r="P590" s="17"/>
      <c r="Q590" s="17"/>
      <c r="R590" s="38" t="e">
        <f>VLOOKUP((D591),'Pwr Factor'!$A$1:$B$52,2)</f>
        <v>#N/A</v>
      </c>
      <c r="S590" s="50">
        <v>0.5</v>
      </c>
      <c r="T590" s="17"/>
      <c r="U590" s="17"/>
      <c r="V590" s="8"/>
      <c r="W590" s="17"/>
      <c r="X590" s="17"/>
      <c r="Y590" s="17"/>
      <c r="Z590" s="17"/>
      <c r="AA590" s="17"/>
      <c r="AB590" s="19"/>
      <c r="AC590" s="67"/>
    </row>
    <row r="591" spans="1:29" x14ac:dyDescent="0.2">
      <c r="A591" s="1" t="s">
        <v>149</v>
      </c>
      <c r="B591" s="103">
        <f>IF(AND('AES Indiana Bill Calc.'!$D$17="PL",'AES Indiana Bill Calc.'!$D$18="Yes 50%",'AES Indiana Bill Calc.'!$D$20="Yes 2018"),'AES Indiana Bill Calc.'!$D$19,-1)</f>
        <v>-1</v>
      </c>
      <c r="C591" s="103">
        <f>MAX(E591,$C$562)</f>
        <v>500</v>
      </c>
      <c r="D591" s="103" t="b">
        <f>IF(AND('AES Indiana Bill Calc.'!$D$17="PL",'AES Indiana Bill Calc.'!$D$18="Yes 50%",'AES Indiana Bill Calc.'!$D$20="Yes 2018"),'AES Indiana Bill Calc.'!$D$22)</f>
        <v>0</v>
      </c>
      <c r="E591" s="103" t="b">
        <f>IF(AND('AES Indiana Bill Calc.'!$D$17="PL",'AES Indiana Bill Calc.'!$D$18="Yes 50%",'AES Indiana Bill Calc.'!$D$20="Yes 2018"),'AES Indiana Bill Calc.'!$D$21)</f>
        <v>0</v>
      </c>
      <c r="F591" s="36" t="s">
        <v>214</v>
      </c>
      <c r="G591" s="42" t="e">
        <f>SUM(J591:M591,R591:AA591)</f>
        <v>#N/A</v>
      </c>
      <c r="H591" s="19" t="e">
        <f>IF(ISBLANK(B591),0,+#REF!/B591)</f>
        <v>#REF!</v>
      </c>
      <c r="I591" s="19"/>
      <c r="J591" s="88">
        <f>IF(ISBLANK(B591),0,+J$564)</f>
        <v>130</v>
      </c>
      <c r="K591" s="42">
        <f>ROUND($B591*K$564,2)</f>
        <v>-0.04</v>
      </c>
      <c r="L591" s="92">
        <f>IF($C591&gt;L$565,ROUND(L$565*L$564,2),ROUND($C591*L$564,2))</f>
        <v>14150</v>
      </c>
      <c r="M591" s="92">
        <f>IF($C591&gt;L$565,ROUND(($C591-L$565)*M$564,2),0)</f>
        <v>0</v>
      </c>
      <c r="N591" s="92">
        <f>K591</f>
        <v>-0.04</v>
      </c>
      <c r="O591" s="42"/>
      <c r="P591" s="42"/>
      <c r="Q591" s="92">
        <f>SUM(L591:M591)</f>
        <v>14150</v>
      </c>
      <c r="R591" s="82" t="e">
        <f>ROUND(SUM(K591:M591)*(R590-1),2)</f>
        <v>#N/A</v>
      </c>
      <c r="S591" s="42">
        <f>ROUND($B591*S$564*S590,2)</f>
        <v>0</v>
      </c>
      <c r="T591" s="42">
        <f>ROUND($B591*T$564,2)</f>
        <v>0</v>
      </c>
      <c r="U591" s="42">
        <f>ROUND($B591*U$564,2)</f>
        <v>0</v>
      </c>
      <c r="V591" s="41">
        <f>ROUND($B591*V$557,2)</f>
        <v>0</v>
      </c>
      <c r="W591" s="42">
        <f>ROUND($B591*W$564,2)</f>
        <v>0</v>
      </c>
      <c r="X591" s="42">
        <f>ROUND($B591*X$564,2)</f>
        <v>0</v>
      </c>
      <c r="Y591" s="42">
        <f>ROUND($B591*Y$564,2)</f>
        <v>0</v>
      </c>
      <c r="Z591" s="42">
        <f>ROUND($B591*Z$564,2)</f>
        <v>0</v>
      </c>
      <c r="AA591" s="42">
        <f>ROUND($B591*AA$564,2)</f>
        <v>0</v>
      </c>
      <c r="AB591" s="19">
        <f>SUM(U$564:AA$564)+(-V$564+V559)</f>
        <v>2.8309999999999993E-3</v>
      </c>
      <c r="AC591" s="94" t="str">
        <f>+F591</f>
        <v>PL8</v>
      </c>
    </row>
    <row r="592" spans="1:29" x14ac:dyDescent="0.2">
      <c r="A592" s="9"/>
      <c r="B592" s="103">
        <v>-1</v>
      </c>
      <c r="D592" s="8"/>
      <c r="E592" s="9"/>
      <c r="F592" s="36"/>
      <c r="G592" s="17"/>
      <c r="H592" s="19"/>
      <c r="I592" s="19"/>
      <c r="J592" s="51"/>
      <c r="K592" s="17"/>
      <c r="L592" s="17"/>
      <c r="M592" s="17"/>
      <c r="N592" s="17"/>
      <c r="O592" s="17"/>
      <c r="P592" s="17"/>
      <c r="Q592" s="17"/>
      <c r="R592" s="38" t="e">
        <f>VLOOKUP((D593),'Pwr Factor'!$A$1:$B$52,2)</f>
        <v>#N/A</v>
      </c>
      <c r="S592" s="50">
        <v>0.25</v>
      </c>
      <c r="T592" s="17"/>
      <c r="U592" s="17"/>
      <c r="V592" s="8"/>
      <c r="W592" s="17"/>
      <c r="X592" s="17"/>
      <c r="Y592" s="17"/>
      <c r="Z592" s="17"/>
      <c r="AA592" s="17"/>
      <c r="AB592" s="19"/>
      <c r="AC592" s="67"/>
    </row>
    <row r="593" spans="1:29" x14ac:dyDescent="0.2">
      <c r="A593" s="1" t="s">
        <v>150</v>
      </c>
      <c r="B593" s="103">
        <f>IF(AND('AES Indiana Bill Calc.'!$D$17="PL",'AES Indiana Bill Calc.'!$D$18="Yes 25%",'AES Indiana Bill Calc.'!$D$20="Yes 2018"),'AES Indiana Bill Calc.'!$D$19,-1)</f>
        <v>-1</v>
      </c>
      <c r="C593" s="103">
        <f>MAX(E593,$C$562)</f>
        <v>500</v>
      </c>
      <c r="D593" s="103" t="b">
        <f>IF(AND('AES Indiana Bill Calc.'!$D$17="PL",'AES Indiana Bill Calc.'!$D$18="Yes 25%",'AES Indiana Bill Calc.'!$D$20="Yes 2018"),'AES Indiana Bill Calc.'!$D$22)</f>
        <v>0</v>
      </c>
      <c r="E593" s="103" t="b">
        <f>IF(AND('AES Indiana Bill Calc.'!$D$17="PL",'AES Indiana Bill Calc.'!$D$18="Yes 25%",'AES Indiana Bill Calc.'!$D$20="Yes 2018"),'AES Indiana Bill Calc.'!$D$21)</f>
        <v>0</v>
      </c>
      <c r="F593" s="36" t="s">
        <v>214</v>
      </c>
      <c r="G593" s="42" t="e">
        <f>SUM(J593:M593,R593:AA593)</f>
        <v>#N/A</v>
      </c>
      <c r="H593" s="19" t="e">
        <f>IF(ISBLANK(B593),0,+#REF!/B593)</f>
        <v>#REF!</v>
      </c>
      <c r="I593" s="19"/>
      <c r="J593" s="88">
        <f>IF(ISBLANK(B593),0,+J$564)</f>
        <v>130</v>
      </c>
      <c r="K593" s="42">
        <f>ROUND($B593*K$564,2)</f>
        <v>-0.04</v>
      </c>
      <c r="L593" s="92">
        <f>IF($C593&gt;L$565,ROUND(L$565*L$564,2),ROUND($C593*L$564,2))</f>
        <v>14150</v>
      </c>
      <c r="M593" s="92">
        <f>IF($C593&gt;L$565,ROUND(($C593-L$565)*M$564,2),0)</f>
        <v>0</v>
      </c>
      <c r="N593" s="92">
        <f>K593</f>
        <v>-0.04</v>
      </c>
      <c r="O593" s="42"/>
      <c r="P593" s="42"/>
      <c r="Q593" s="92">
        <f>SUM(L593:M593)</f>
        <v>14150</v>
      </c>
      <c r="R593" s="82" t="e">
        <f>ROUND(SUM(K593:M593)*(R592-1),2)</f>
        <v>#N/A</v>
      </c>
      <c r="S593" s="42">
        <f>ROUND($B593*S$564*S592,2)</f>
        <v>0</v>
      </c>
      <c r="T593" s="42">
        <f>ROUND($B593*T$564,2)</f>
        <v>0</v>
      </c>
      <c r="U593" s="42">
        <f>ROUND($B593*U$564,2)</f>
        <v>0</v>
      </c>
      <c r="V593" s="41">
        <f>ROUND($B593*V$557,2)</f>
        <v>0</v>
      </c>
      <c r="W593" s="42">
        <f>ROUND($B593*W$564,2)</f>
        <v>0</v>
      </c>
      <c r="X593" s="42">
        <f>ROUND($B593*X$564,2)</f>
        <v>0</v>
      </c>
      <c r="Y593" s="42">
        <f>ROUND($B593*Y$564,2)</f>
        <v>0</v>
      </c>
      <c r="Z593" s="42">
        <f>ROUND($B593*Z$564,2)</f>
        <v>0</v>
      </c>
      <c r="AA593" s="42">
        <f>ROUND($B593*AA$564,2)</f>
        <v>0</v>
      </c>
      <c r="AB593" s="19">
        <f>SUM(U$564:AA$564)+(-V$564+V561)</f>
        <v>2.3699999999999997E-3</v>
      </c>
      <c r="AC593" s="94" t="str">
        <f>+F593</f>
        <v>PL8</v>
      </c>
    </row>
    <row r="594" spans="1:29" x14ac:dyDescent="0.2">
      <c r="A594" s="9"/>
      <c r="B594" s="103">
        <v>-1</v>
      </c>
      <c r="D594" s="8"/>
      <c r="E594" s="9"/>
      <c r="F594" s="36"/>
      <c r="G594" s="17"/>
      <c r="H594" s="19"/>
      <c r="I594" s="19"/>
      <c r="J594" s="51"/>
      <c r="K594" s="17"/>
      <c r="L594" s="17"/>
      <c r="M594" s="17"/>
      <c r="N594" s="17"/>
      <c r="O594" s="17"/>
      <c r="P594" s="17"/>
      <c r="Q594" s="17"/>
      <c r="R594" s="38" t="e">
        <f>VLOOKUP((D595),'Pwr Factor'!$A$1:$B$52,2)</f>
        <v>#N/A</v>
      </c>
      <c r="S594" s="50">
        <v>0.1</v>
      </c>
      <c r="T594" s="17"/>
      <c r="U594" s="17"/>
      <c r="V594" s="8"/>
      <c r="W594" s="17"/>
      <c r="X594" s="17"/>
      <c r="Y594" s="17"/>
      <c r="Z594" s="17"/>
      <c r="AA594" s="17"/>
      <c r="AB594" s="19"/>
      <c r="AC594" s="67"/>
    </row>
    <row r="595" spans="1:29" x14ac:dyDescent="0.2">
      <c r="A595" s="1" t="s">
        <v>164</v>
      </c>
      <c r="B595" s="103">
        <f>IF(AND('AES Indiana Bill Calc.'!$D$17="PL",'AES Indiana Bill Calc.'!$D$18="Yes 10%",'AES Indiana Bill Calc.'!$D$20="Yes 2018"),'AES Indiana Bill Calc.'!$D$19,-1)</f>
        <v>-1</v>
      </c>
      <c r="C595" s="103">
        <f>MAX(E595,$C$562)</f>
        <v>500</v>
      </c>
      <c r="D595" s="103" t="b">
        <f>IF(AND('AES Indiana Bill Calc.'!$D$17="PL",'AES Indiana Bill Calc.'!$D$18="Yes 10%",'AES Indiana Bill Calc.'!$D$20="Yes 2018"),'AES Indiana Bill Calc.'!$D$22)</f>
        <v>0</v>
      </c>
      <c r="E595" s="103" t="b">
        <f>IF(AND('AES Indiana Bill Calc.'!$D$17="PL",'AES Indiana Bill Calc.'!$D$18="Yes 10%",'AES Indiana Bill Calc.'!$D$20="Yes 2018"),'AES Indiana Bill Calc.'!$D$21)</f>
        <v>0</v>
      </c>
      <c r="F595" s="36" t="s">
        <v>214</v>
      </c>
      <c r="G595" s="42" t="e">
        <f>SUM(J595:M595,R595:AA595)</f>
        <v>#N/A</v>
      </c>
      <c r="H595" s="19" t="e">
        <f>IF(ISBLANK(B595),0,+#REF!/B595)</f>
        <v>#REF!</v>
      </c>
      <c r="I595" s="19"/>
      <c r="J595" s="88">
        <f>IF(ISBLANK(B595),0,+J$564)</f>
        <v>130</v>
      </c>
      <c r="K595" s="42">
        <f>ROUND($B595*K$564,2)</f>
        <v>-0.04</v>
      </c>
      <c r="L595" s="92">
        <f>IF($C595&gt;L$565,ROUND(L$565*L$564,2),ROUND($C595*L$564,2))</f>
        <v>14150</v>
      </c>
      <c r="M595" s="92">
        <f>IF($C595&gt;L$565,ROUND(($C595-L$565)*M$564,2),0)</f>
        <v>0</v>
      </c>
      <c r="N595" s="92">
        <f>K595</f>
        <v>-0.04</v>
      </c>
      <c r="O595" s="42"/>
      <c r="P595" s="42"/>
      <c r="Q595" s="92">
        <f>SUM(L595:M595)</f>
        <v>14150</v>
      </c>
      <c r="R595" s="82" t="e">
        <f>ROUND(SUM(K595:M595)*(R594-1),2)</f>
        <v>#N/A</v>
      </c>
      <c r="S595" s="42">
        <f>ROUND($B595*S$564*S594,2)</f>
        <v>0</v>
      </c>
      <c r="T595" s="42">
        <f>ROUND($B595*T$564,2)</f>
        <v>0</v>
      </c>
      <c r="U595" s="42">
        <f>ROUND($B595*U$564,2)</f>
        <v>0</v>
      </c>
      <c r="V595" s="41">
        <f>ROUND($B595*V$557,2)</f>
        <v>0</v>
      </c>
      <c r="W595" s="42">
        <f>ROUND($B595*W$564,2)</f>
        <v>0</v>
      </c>
      <c r="X595" s="42">
        <f>ROUND($B595*X$564,2)</f>
        <v>0</v>
      </c>
      <c r="Y595" s="42">
        <f>ROUND($B595*Y$564,2)</f>
        <v>0</v>
      </c>
      <c r="Z595" s="42">
        <f>ROUND($B595*Z$564,2)</f>
        <v>0</v>
      </c>
      <c r="AA595" s="42">
        <f>ROUND($B595*AA$564,2)</f>
        <v>0</v>
      </c>
      <c r="AB595" s="19">
        <f>SUM(U$564:AA$564)+(-V$564+V565)</f>
        <v>2.3699999999999997E-3</v>
      </c>
      <c r="AC595" s="94" t="str">
        <f>+F595</f>
        <v>PL8</v>
      </c>
    </row>
    <row r="596" spans="1:29" x14ac:dyDescent="0.2">
      <c r="A596" s="9"/>
      <c r="B596" s="103">
        <v>-1</v>
      </c>
      <c r="D596" s="8"/>
      <c r="E596" s="9"/>
      <c r="F596" s="36"/>
      <c r="G596" s="17"/>
      <c r="H596" s="19"/>
      <c r="I596" s="19"/>
      <c r="J596" s="51"/>
      <c r="K596" s="17"/>
      <c r="L596" s="17"/>
      <c r="M596" s="17"/>
      <c r="N596" s="17"/>
      <c r="O596" s="17"/>
      <c r="P596" s="17"/>
      <c r="Q596" s="17"/>
      <c r="R596" s="38" t="e">
        <f>VLOOKUP((D597),'Pwr Factor'!$A$1:$B$52,2)</f>
        <v>#N/A</v>
      </c>
      <c r="S596" s="50">
        <v>0</v>
      </c>
      <c r="T596" s="17"/>
      <c r="U596" s="17"/>
      <c r="V596" s="8"/>
      <c r="W596" s="17"/>
      <c r="X596" s="17"/>
      <c r="Y596" s="17"/>
      <c r="Z596" s="17"/>
      <c r="AA596" s="17"/>
      <c r="AB596" s="19"/>
      <c r="AC596" s="67"/>
    </row>
    <row r="597" spans="1:29" x14ac:dyDescent="0.2">
      <c r="A597" s="1" t="s">
        <v>147</v>
      </c>
      <c r="B597" s="103">
        <f>IF(AND('AES Indiana Bill Calc.'!$D$17="PL",'AES Indiana Bill Calc.'!$D$18="No",'AES Indiana Bill Calc.'!$D$20="Yes 2018"),'AES Indiana Bill Calc.'!$D$19,-1)</f>
        <v>-1</v>
      </c>
      <c r="C597" s="103">
        <f>MAX(E597,$C$562)</f>
        <v>500</v>
      </c>
      <c r="D597" s="103" t="b">
        <f>IF(AND('AES Indiana Bill Calc.'!$D$17="PL",'AES Indiana Bill Calc.'!$D$18="No",'AES Indiana Bill Calc.'!$D$20="Yes 2018"),'AES Indiana Bill Calc.'!$D$22)</f>
        <v>0</v>
      </c>
      <c r="E597" s="103" t="b">
        <f>IF(AND('AES Indiana Bill Calc.'!$D$17="PL",'AES Indiana Bill Calc.'!$D$18="No",'AES Indiana Bill Calc.'!$D$20="Yes 2018"),'AES Indiana Bill Calc.'!$D$21)</f>
        <v>0</v>
      </c>
      <c r="F597" s="36" t="s">
        <v>214</v>
      </c>
      <c r="G597" s="42" t="e">
        <f>SUM(J597:M597,R597:AA597)</f>
        <v>#N/A</v>
      </c>
      <c r="H597" s="19" t="e">
        <f>IF(ISBLANK(B597),0,+#REF!/B597)</f>
        <v>#REF!</v>
      </c>
      <c r="I597" s="19"/>
      <c r="J597" s="88">
        <f>IF(ISBLANK(B597),0,+J$564)</f>
        <v>130</v>
      </c>
      <c r="K597" s="42">
        <f>ROUND($B597*K$564,2)</f>
        <v>-0.04</v>
      </c>
      <c r="L597" s="92">
        <f>IF($C597&gt;L$565,ROUND(L$565*L$564,2),ROUND($C597*L$564,2))</f>
        <v>14150</v>
      </c>
      <c r="M597" s="92">
        <f>IF($C597&gt;L$565,ROUND(($C597-L$565)*M$564,2),0)</f>
        <v>0</v>
      </c>
      <c r="N597" s="92">
        <f>K597</f>
        <v>-0.04</v>
      </c>
      <c r="O597" s="42"/>
      <c r="P597" s="42"/>
      <c r="Q597" s="92">
        <f>SUM(L597:M597)</f>
        <v>14150</v>
      </c>
      <c r="R597" s="82" t="e">
        <f>ROUND(SUM(K597:M597)*(R596-1),2)</f>
        <v>#N/A</v>
      </c>
      <c r="S597" s="42">
        <f>ROUND($B597*S$564*S596,2)</f>
        <v>0</v>
      </c>
      <c r="T597" s="42">
        <f>ROUND($B597*T$564,2)</f>
        <v>0</v>
      </c>
      <c r="U597" s="42">
        <f>ROUND($B597*U$564,2)</f>
        <v>0</v>
      </c>
      <c r="V597" s="41">
        <f>ROUND($B597*V$557,2)</f>
        <v>0</v>
      </c>
      <c r="W597" s="42">
        <f>ROUND($B597*W$564,2)</f>
        <v>0</v>
      </c>
      <c r="X597" s="42">
        <f>ROUND($B597*X$564,2)</f>
        <v>0</v>
      </c>
      <c r="Y597" s="42">
        <f>ROUND($B597*Y$564,2)</f>
        <v>0</v>
      </c>
      <c r="Z597" s="42">
        <f>ROUND($B597*Z$564,2)</f>
        <v>0</v>
      </c>
      <c r="AA597" s="42">
        <f>ROUND($B597*AA$564,2)</f>
        <v>0</v>
      </c>
      <c r="AB597" s="19" t="e">
        <f>SUM(U$564:AA$564)+(-V$564+V567)</f>
        <v>#VALUE!</v>
      </c>
      <c r="AC597" s="94" t="str">
        <f>+F597</f>
        <v>PL8</v>
      </c>
    </row>
    <row r="598" spans="1:29" x14ac:dyDescent="0.2">
      <c r="A598" s="53"/>
      <c r="B598" s="97">
        <v>-1</v>
      </c>
      <c r="D598" s="87"/>
      <c r="E598" s="97"/>
      <c r="F598" s="36"/>
      <c r="G598" s="98"/>
      <c r="H598" s="19"/>
      <c r="I598" s="19"/>
      <c r="J598" s="107"/>
      <c r="K598" s="98"/>
      <c r="L598" s="98"/>
      <c r="M598" s="98"/>
      <c r="N598" s="98"/>
      <c r="O598" s="98"/>
      <c r="P598" s="98"/>
      <c r="Q598" s="98"/>
      <c r="R598" s="38" t="e">
        <f>VLOOKUP((D599),'Pwr Factor'!$A$1:$B$52,2)</f>
        <v>#N/A</v>
      </c>
      <c r="S598" s="50">
        <v>1</v>
      </c>
      <c r="T598" s="98"/>
      <c r="U598" s="98"/>
      <c r="V598" s="87"/>
      <c r="W598" s="98"/>
      <c r="X598" s="98"/>
      <c r="Y598" s="98"/>
      <c r="Z598" s="98"/>
      <c r="AA598" s="98"/>
      <c r="AB598" s="19"/>
      <c r="AC598" s="108"/>
    </row>
    <row r="599" spans="1:29" x14ac:dyDescent="0.2">
      <c r="A599" s="1" t="s">
        <v>148</v>
      </c>
      <c r="B599" s="103">
        <f>IF(AND('AES Indiana Bill Calc.'!$D$17="PL",'AES Indiana Bill Calc.'!$D$18="Yes 100%",'AES Indiana Bill Calc.'!$D$20="Yes 2019"),'AES Indiana Bill Calc.'!$D$19,-1)</f>
        <v>-1</v>
      </c>
      <c r="C599" s="103">
        <f>MAX(E599,$C$562)</f>
        <v>500</v>
      </c>
      <c r="D599" s="103" t="b">
        <f>IF(AND('AES Indiana Bill Calc.'!$D$17="PL",'AES Indiana Bill Calc.'!$D$18="Yes 100%",'AES Indiana Bill Calc.'!$D$20="Yes 2019"),'AES Indiana Bill Calc.'!$D$22)</f>
        <v>0</v>
      </c>
      <c r="E599" s="103" t="b">
        <f>IF(AND('AES Indiana Bill Calc.'!$D$17="PL",'AES Indiana Bill Calc.'!$D$18="Yes 100%",'AES Indiana Bill Calc.'!$D$20="Yes 2019"),'AES Indiana Bill Calc.'!$D$21)</f>
        <v>0</v>
      </c>
      <c r="F599" s="36" t="s">
        <v>215</v>
      </c>
      <c r="G599" s="42" t="e">
        <f>SUM(J599:M599,R599:AA599)</f>
        <v>#N/A</v>
      </c>
      <c r="H599" s="19" t="e">
        <f>IF(ISBLANK(B599),0,+#REF!/B599)</f>
        <v>#REF!</v>
      </c>
      <c r="I599" s="19"/>
      <c r="J599" s="88">
        <f>IF(ISBLANK(B599),0,+J$564)</f>
        <v>130</v>
      </c>
      <c r="K599" s="42">
        <f>ROUND($B599*K$564,2)</f>
        <v>-0.04</v>
      </c>
      <c r="L599" s="92">
        <f>IF($C599&gt;L$565,ROUND(L$565*L$564,2),ROUND($C599*L$564,2))</f>
        <v>14150</v>
      </c>
      <c r="M599" s="92">
        <f>IF($C599&gt;L$565,ROUND(($C599-L$565)*M$564,2),0)</f>
        <v>0</v>
      </c>
      <c r="N599" s="92">
        <f>K599</f>
        <v>-0.04</v>
      </c>
      <c r="O599" s="42"/>
      <c r="P599" s="42"/>
      <c r="Q599" s="92">
        <f>SUM(L599:M599)</f>
        <v>14150</v>
      </c>
      <c r="R599" s="82" t="e">
        <f>ROUND(SUM(K599:M599)*(R598-1),2)</f>
        <v>#N/A</v>
      </c>
      <c r="S599" s="42">
        <f>ROUND($B599*S$564*S598,2)</f>
        <v>0</v>
      </c>
      <c r="T599" s="42">
        <f>ROUND($B599*T$564,2)</f>
        <v>0</v>
      </c>
      <c r="U599" s="42">
        <f>ROUND($B599*U$564,2)</f>
        <v>0</v>
      </c>
      <c r="V599" s="87">
        <f>ROUND($B599*V$558,2)</f>
        <v>0</v>
      </c>
      <c r="W599" s="42">
        <f>ROUND($B599*W$564,2)</f>
        <v>0</v>
      </c>
      <c r="X599" s="42">
        <f>ROUND($B599*X$564,2)</f>
        <v>0</v>
      </c>
      <c r="Y599" s="42">
        <f>ROUND($B599*Y$564,2)</f>
        <v>0</v>
      </c>
      <c r="Z599" s="42">
        <f>ROUND($B599*Z$564,2)</f>
        <v>0</v>
      </c>
      <c r="AA599" s="42">
        <f>ROUND($B599*AA$564,2)</f>
        <v>0</v>
      </c>
      <c r="AB599" s="19">
        <f>SUM(U$564:AA$564)+(-V$564+V559)</f>
        <v>2.8309999999999993E-3</v>
      </c>
      <c r="AC599" s="94" t="str">
        <f>+F599</f>
        <v>PL9</v>
      </c>
    </row>
    <row r="600" spans="1:29" x14ac:dyDescent="0.2">
      <c r="A600" s="9"/>
      <c r="B600" s="97">
        <v>-1</v>
      </c>
      <c r="D600" s="87"/>
      <c r="E600" s="97"/>
      <c r="F600" s="36"/>
      <c r="G600" s="98"/>
      <c r="H600" s="19"/>
      <c r="I600" s="19"/>
      <c r="J600" s="107"/>
      <c r="K600" s="98"/>
      <c r="L600" s="98"/>
      <c r="M600" s="98"/>
      <c r="N600" s="98"/>
      <c r="O600" s="98"/>
      <c r="P600" s="98"/>
      <c r="Q600" s="98"/>
      <c r="R600" s="38" t="e">
        <f>VLOOKUP((D601),'Pwr Factor'!$A$1:$B$52,2)</f>
        <v>#N/A</v>
      </c>
      <c r="S600" s="50">
        <v>0.5</v>
      </c>
      <c r="T600" s="98"/>
      <c r="U600" s="98"/>
      <c r="V600" s="87"/>
      <c r="W600" s="98"/>
      <c r="X600" s="98"/>
      <c r="Y600" s="98"/>
      <c r="Z600" s="98"/>
      <c r="AA600" s="98"/>
      <c r="AB600" s="19"/>
      <c r="AC600" s="108"/>
    </row>
    <row r="601" spans="1:29" x14ac:dyDescent="0.2">
      <c r="A601" s="1" t="s">
        <v>149</v>
      </c>
      <c r="B601" s="103">
        <f>IF(AND('AES Indiana Bill Calc.'!$D$17="PL",'AES Indiana Bill Calc.'!$D$18="Yes 50%",'AES Indiana Bill Calc.'!$D$20="Yes 2019"),'AES Indiana Bill Calc.'!$D$19,-1)</f>
        <v>-1</v>
      </c>
      <c r="C601" s="103">
        <f>MAX(E601,$C$562)</f>
        <v>500</v>
      </c>
      <c r="D601" s="103" t="b">
        <f>IF(AND('AES Indiana Bill Calc.'!$D$17="PL",'AES Indiana Bill Calc.'!$D$18="Yes 50%",'AES Indiana Bill Calc.'!$D$20="Yes 2019"),'AES Indiana Bill Calc.'!$D$22)</f>
        <v>0</v>
      </c>
      <c r="E601" s="103" t="b">
        <f>IF(AND('AES Indiana Bill Calc.'!$D$17="PL",'AES Indiana Bill Calc.'!$D$18="Yes 50%",'AES Indiana Bill Calc.'!$D$20="Yes 2019"),'AES Indiana Bill Calc.'!$D$21)</f>
        <v>0</v>
      </c>
      <c r="F601" s="36" t="s">
        <v>215</v>
      </c>
      <c r="G601" s="42" t="e">
        <f>SUM(J601:M601,R601:AA601)</f>
        <v>#N/A</v>
      </c>
      <c r="H601" s="19" t="e">
        <f>IF(ISBLANK(B601),0,+#REF!/B601)</f>
        <v>#REF!</v>
      </c>
      <c r="I601" s="19"/>
      <c r="J601" s="88">
        <f>IF(ISBLANK(B601),0,+J$564)</f>
        <v>130</v>
      </c>
      <c r="K601" s="42">
        <f>ROUND($B601*K$564,2)</f>
        <v>-0.04</v>
      </c>
      <c r="L601" s="92">
        <f>IF($C601&gt;L$565,ROUND(L$565*L$564,2),ROUND($C601*L$564,2))</f>
        <v>14150</v>
      </c>
      <c r="M601" s="92">
        <f>IF($C601&gt;L$565,ROUND(($C601-L$565)*M$564,2),0)</f>
        <v>0</v>
      </c>
      <c r="N601" s="92">
        <f>K601</f>
        <v>-0.04</v>
      </c>
      <c r="O601" s="42"/>
      <c r="P601" s="42"/>
      <c r="Q601" s="92">
        <f>SUM(L601:M601)</f>
        <v>14150</v>
      </c>
      <c r="R601" s="82" t="e">
        <f>ROUND(SUM(K601:M601)*(R600-1),2)</f>
        <v>#N/A</v>
      </c>
      <c r="S601" s="42">
        <f>ROUND($B601*S$564*S600,2)</f>
        <v>0</v>
      </c>
      <c r="T601" s="42">
        <f>ROUND($B601*T$564,2)</f>
        <v>0</v>
      </c>
      <c r="U601" s="42">
        <f>ROUND($B601*U$564,2)</f>
        <v>0</v>
      </c>
      <c r="V601" s="87">
        <f>ROUND($B601*V$558,2)</f>
        <v>0</v>
      </c>
      <c r="W601" s="42">
        <f>ROUND($B601*W$564,2)</f>
        <v>0</v>
      </c>
      <c r="X601" s="42">
        <f>ROUND($B601*X$564,2)</f>
        <v>0</v>
      </c>
      <c r="Y601" s="42">
        <f>ROUND($B601*Y$564,2)</f>
        <v>0</v>
      </c>
      <c r="Z601" s="42">
        <f>ROUND($B601*Z$564,2)</f>
        <v>0</v>
      </c>
      <c r="AA601" s="42">
        <f>ROUND($B601*AA$564,2)</f>
        <v>0</v>
      </c>
      <c r="AB601" s="19">
        <f>SUM(U$564:AA$564)+(-V$564+V561)</f>
        <v>2.3699999999999997E-3</v>
      </c>
      <c r="AC601" s="94" t="str">
        <f>+F601</f>
        <v>PL9</v>
      </c>
    </row>
    <row r="602" spans="1:29" x14ac:dyDescent="0.2">
      <c r="A602" s="9"/>
      <c r="B602" s="97">
        <v>-1</v>
      </c>
      <c r="D602" s="87"/>
      <c r="E602" s="97"/>
      <c r="F602" s="36"/>
      <c r="G602" s="98"/>
      <c r="H602" s="19"/>
      <c r="I602" s="19"/>
      <c r="J602" s="107"/>
      <c r="K602" s="98"/>
      <c r="L602" s="98"/>
      <c r="M602" s="98"/>
      <c r="N602" s="98"/>
      <c r="O602" s="98"/>
      <c r="P602" s="98"/>
      <c r="Q602" s="98"/>
      <c r="R602" s="38" t="e">
        <f>VLOOKUP((D603),'Pwr Factor'!$A$1:$B$52,2)</f>
        <v>#N/A</v>
      </c>
      <c r="S602" s="50">
        <v>0.25</v>
      </c>
      <c r="T602" s="98"/>
      <c r="U602" s="98"/>
      <c r="V602" s="87"/>
      <c r="W602" s="98"/>
      <c r="X602" s="98"/>
      <c r="Y602" s="98"/>
      <c r="Z602" s="98"/>
      <c r="AA602" s="98"/>
      <c r="AB602" s="19"/>
      <c r="AC602" s="108"/>
    </row>
    <row r="603" spans="1:29" x14ac:dyDescent="0.2">
      <c r="A603" s="1" t="s">
        <v>150</v>
      </c>
      <c r="B603" s="103">
        <f>IF(AND('AES Indiana Bill Calc.'!$D$17="PL",'AES Indiana Bill Calc.'!$D$18="Yes 25%",'AES Indiana Bill Calc.'!$D$20="Yes 2019"),'AES Indiana Bill Calc.'!$D$19,-1)</f>
        <v>-1</v>
      </c>
      <c r="C603" s="103">
        <f>MAX(E603,$C$562)</f>
        <v>500</v>
      </c>
      <c r="D603" s="103" t="b">
        <f>IF(AND('AES Indiana Bill Calc.'!$D$17="PL",'AES Indiana Bill Calc.'!$D$18="Yes 25%",'AES Indiana Bill Calc.'!$D$20="Yes 2019"),'AES Indiana Bill Calc.'!$D$22)</f>
        <v>0</v>
      </c>
      <c r="E603" s="103" t="b">
        <f>IF(AND('AES Indiana Bill Calc.'!$D$17="PL",'AES Indiana Bill Calc.'!$D$18="Yes 25%",'AES Indiana Bill Calc.'!$D$20="Yes 2019"),'AES Indiana Bill Calc.'!$D$21)</f>
        <v>0</v>
      </c>
      <c r="F603" s="36" t="s">
        <v>215</v>
      </c>
      <c r="G603" s="42" t="e">
        <f>SUM(J603:M603,R603:AA603)</f>
        <v>#N/A</v>
      </c>
      <c r="H603" s="19" t="e">
        <f>IF(ISBLANK(B603),0,+#REF!/B603)</f>
        <v>#REF!</v>
      </c>
      <c r="I603" s="19"/>
      <c r="J603" s="88">
        <f>IF(ISBLANK(B603),0,+J$564)</f>
        <v>130</v>
      </c>
      <c r="K603" s="42">
        <f>ROUND($B603*K$564,2)</f>
        <v>-0.04</v>
      </c>
      <c r="L603" s="92">
        <f>IF($C603&gt;L$565,ROUND(L$565*L$564,2),ROUND($C603*L$564,2))</f>
        <v>14150</v>
      </c>
      <c r="M603" s="92">
        <f>IF($C603&gt;L$565,ROUND(($C603-L$565)*M$564,2),0)</f>
        <v>0</v>
      </c>
      <c r="N603" s="92">
        <f>K603</f>
        <v>-0.04</v>
      </c>
      <c r="O603" s="42"/>
      <c r="P603" s="42"/>
      <c r="Q603" s="92">
        <f>SUM(L603:M603)</f>
        <v>14150</v>
      </c>
      <c r="R603" s="82" t="e">
        <f>ROUND(SUM(K603:M603)*(R602-1),2)</f>
        <v>#N/A</v>
      </c>
      <c r="S603" s="42">
        <f>ROUND($B603*S$564*S602,2)</f>
        <v>0</v>
      </c>
      <c r="T603" s="42">
        <f>ROUND($B603*T$564,2)</f>
        <v>0</v>
      </c>
      <c r="U603" s="42">
        <f>ROUND($B603*U$564,2)</f>
        <v>0</v>
      </c>
      <c r="V603" s="87">
        <f>ROUND($B603*V$558,2)</f>
        <v>0</v>
      </c>
      <c r="W603" s="42">
        <f>ROUND($B603*W$564,2)</f>
        <v>0</v>
      </c>
      <c r="X603" s="42">
        <f>ROUND($B603*X$564,2)</f>
        <v>0</v>
      </c>
      <c r="Y603" s="42">
        <f>ROUND($B603*Y$564,2)</f>
        <v>0</v>
      </c>
      <c r="Z603" s="42">
        <f>ROUND($B603*Z$564,2)</f>
        <v>0</v>
      </c>
      <c r="AA603" s="42">
        <f>ROUND($B603*AA$564,2)</f>
        <v>0</v>
      </c>
      <c r="AB603" s="19">
        <f>SUM(U$564:AA$564)+(-V$564+V565)</f>
        <v>2.3699999999999997E-3</v>
      </c>
      <c r="AC603" s="94" t="str">
        <f>+F603</f>
        <v>PL9</v>
      </c>
    </row>
    <row r="604" spans="1:29" x14ac:dyDescent="0.2">
      <c r="A604" s="9"/>
      <c r="B604" s="97">
        <v>-1</v>
      </c>
      <c r="D604" s="87"/>
      <c r="E604" s="97"/>
      <c r="F604" s="36"/>
      <c r="G604" s="98"/>
      <c r="H604" s="19"/>
      <c r="I604" s="19"/>
      <c r="J604" s="107"/>
      <c r="K604" s="98"/>
      <c r="L604" s="98"/>
      <c r="M604" s="98"/>
      <c r="N604" s="98"/>
      <c r="O604" s="98"/>
      <c r="P604" s="98"/>
      <c r="Q604" s="98"/>
      <c r="R604" s="38" t="e">
        <f>VLOOKUP((D605),'Pwr Factor'!$A$1:$B$52,2)</f>
        <v>#N/A</v>
      </c>
      <c r="S604" s="50">
        <v>0.1</v>
      </c>
      <c r="T604" s="98"/>
      <c r="U604" s="98"/>
      <c r="V604" s="87"/>
      <c r="W604" s="98"/>
      <c r="X604" s="98"/>
      <c r="Y604" s="98"/>
      <c r="Z604" s="98"/>
      <c r="AA604" s="98"/>
      <c r="AB604" s="19"/>
      <c r="AC604" s="108"/>
    </row>
    <row r="605" spans="1:29" x14ac:dyDescent="0.2">
      <c r="A605" s="1" t="s">
        <v>164</v>
      </c>
      <c r="B605" s="103">
        <f>IF(AND('AES Indiana Bill Calc.'!$D$17="PL",'AES Indiana Bill Calc.'!$D$18="Yes 10%",'AES Indiana Bill Calc.'!$D$20="Yes 2019"),'AES Indiana Bill Calc.'!$D$19,-1)</f>
        <v>-1</v>
      </c>
      <c r="C605" s="103">
        <f>MAX(E605,$C$562)</f>
        <v>500</v>
      </c>
      <c r="D605" s="103" t="b">
        <f>IF(AND('AES Indiana Bill Calc.'!$D$17="PL",'AES Indiana Bill Calc.'!$D$18="Yes 10%",'AES Indiana Bill Calc.'!$D$20="Yes 2019"),'AES Indiana Bill Calc.'!$D$22)</f>
        <v>0</v>
      </c>
      <c r="E605" s="103" t="b">
        <f>IF(AND('AES Indiana Bill Calc.'!$D$17="PL",'AES Indiana Bill Calc.'!$D$18="Yes 10%",'AES Indiana Bill Calc.'!$D$20="Yes 2019"),'AES Indiana Bill Calc.'!$D$21)</f>
        <v>0</v>
      </c>
      <c r="F605" s="36" t="s">
        <v>215</v>
      </c>
      <c r="G605" s="42" t="e">
        <f>SUM(J605:M605,R605:AA605)</f>
        <v>#N/A</v>
      </c>
      <c r="H605" s="19" t="e">
        <f>IF(ISBLANK(B605),0,+#REF!/B605)</f>
        <v>#REF!</v>
      </c>
      <c r="I605" s="19"/>
      <c r="J605" s="88">
        <f>IF(ISBLANK(B605),0,+J$564)</f>
        <v>130</v>
      </c>
      <c r="K605" s="42">
        <f>ROUND($B605*K$564,2)</f>
        <v>-0.04</v>
      </c>
      <c r="L605" s="92">
        <f>IF($C605&gt;L$565,ROUND(L$565*L$564,2),ROUND($C605*L$564,2))</f>
        <v>14150</v>
      </c>
      <c r="M605" s="92">
        <f>IF($C605&gt;L$565,ROUND(($C605-L$565)*M$564,2),0)</f>
        <v>0</v>
      </c>
      <c r="N605" s="92">
        <f>K605</f>
        <v>-0.04</v>
      </c>
      <c r="O605" s="42"/>
      <c r="P605" s="42"/>
      <c r="Q605" s="92">
        <f>SUM(L605:M605)</f>
        <v>14150</v>
      </c>
      <c r="R605" s="82" t="e">
        <f>ROUND(SUM(K605:M605)*(R604-1),2)</f>
        <v>#N/A</v>
      </c>
      <c r="S605" s="42">
        <f>ROUND($B605*S$564*S604,2)</f>
        <v>0</v>
      </c>
      <c r="T605" s="42">
        <f>ROUND($B605*T$564,2)</f>
        <v>0</v>
      </c>
      <c r="U605" s="42">
        <f>ROUND($B605*U$564,2)</f>
        <v>0</v>
      </c>
      <c r="V605" s="87">
        <f>ROUND($B605*V$558,2)</f>
        <v>0</v>
      </c>
      <c r="W605" s="42">
        <f>ROUND($B605*W$564,2)</f>
        <v>0</v>
      </c>
      <c r="X605" s="42">
        <f>ROUND($B605*X$564,2)</f>
        <v>0</v>
      </c>
      <c r="Y605" s="42">
        <f>ROUND($B605*Y$564,2)</f>
        <v>0</v>
      </c>
      <c r="Z605" s="42">
        <f>ROUND($B605*Z$564,2)</f>
        <v>0</v>
      </c>
      <c r="AA605" s="42">
        <f>ROUND($B605*AA$564,2)</f>
        <v>0</v>
      </c>
      <c r="AB605" s="19" t="e">
        <f>SUM(U$564:AA$564)+(-V$564+V567)</f>
        <v>#VALUE!</v>
      </c>
      <c r="AC605" s="94" t="str">
        <f>+F605</f>
        <v>PL9</v>
      </c>
    </row>
    <row r="606" spans="1:29" x14ac:dyDescent="0.2">
      <c r="A606" s="9"/>
      <c r="B606" s="97">
        <v>-1</v>
      </c>
      <c r="D606" s="87"/>
      <c r="E606" s="97"/>
      <c r="F606" s="36"/>
      <c r="G606" s="98"/>
      <c r="H606" s="19"/>
      <c r="I606" s="19"/>
      <c r="J606" s="107"/>
      <c r="K606" s="98"/>
      <c r="L606" s="98"/>
      <c r="M606" s="98"/>
      <c r="N606" s="98"/>
      <c r="O606" s="98"/>
      <c r="P606" s="98"/>
      <c r="Q606" s="98"/>
      <c r="R606" s="38" t="e">
        <f>VLOOKUP((D607),'Pwr Factor'!$A$1:$B$52,2)</f>
        <v>#N/A</v>
      </c>
      <c r="S606" s="50">
        <v>0</v>
      </c>
      <c r="T606" s="98"/>
      <c r="U606" s="98"/>
      <c r="V606" s="87"/>
      <c r="W606" s="98"/>
      <c r="X606" s="98"/>
      <c r="Y606" s="98"/>
      <c r="Z606" s="98"/>
      <c r="AA606" s="98"/>
      <c r="AB606" s="19"/>
      <c r="AC606" s="108"/>
    </row>
    <row r="607" spans="1:29" x14ac:dyDescent="0.2">
      <c r="A607" s="1" t="s">
        <v>147</v>
      </c>
      <c r="B607" s="103">
        <f>IF(AND('AES Indiana Bill Calc.'!$D$17="PL",'AES Indiana Bill Calc.'!$D$18="No",'AES Indiana Bill Calc.'!$D$20="Yes 2019"),'AES Indiana Bill Calc.'!$D$19,-1)</f>
        <v>-1</v>
      </c>
      <c r="C607" s="103">
        <f>MAX(E607,$C$562)</f>
        <v>500</v>
      </c>
      <c r="D607" s="103" t="b">
        <f>IF(AND('AES Indiana Bill Calc.'!$D$17="PL",'AES Indiana Bill Calc.'!$D$18="No",'AES Indiana Bill Calc.'!$D$20="Yes 2019"),'AES Indiana Bill Calc.'!$D$22)</f>
        <v>0</v>
      </c>
      <c r="E607" s="103" t="b">
        <f>IF(AND('AES Indiana Bill Calc.'!$D$17="PL",'AES Indiana Bill Calc.'!$D$18="No",'AES Indiana Bill Calc.'!$D$20="Yes 2019"),'AES Indiana Bill Calc.'!$D$21)</f>
        <v>0</v>
      </c>
      <c r="F607" s="36" t="s">
        <v>215</v>
      </c>
      <c r="G607" s="42" t="e">
        <f>SUM(J607:M607,R607:AA607)</f>
        <v>#N/A</v>
      </c>
      <c r="H607" s="19" t="e">
        <f>IF(ISBLANK(B607),0,+#REF!/B607)</f>
        <v>#REF!</v>
      </c>
      <c r="I607" s="19"/>
      <c r="J607" s="88">
        <f>IF(ISBLANK(B607),0,+J$564)</f>
        <v>130</v>
      </c>
      <c r="K607" s="42">
        <f>ROUND($B607*K$564,2)</f>
        <v>-0.04</v>
      </c>
      <c r="L607" s="92">
        <f>IF($C607&gt;L$565,ROUND(L$565*L$564,2),ROUND($C607*L$564,2))</f>
        <v>14150</v>
      </c>
      <c r="M607" s="92">
        <f>IF($C607&gt;L$565,ROUND(($C607-L$565)*M$564,2),0)</f>
        <v>0</v>
      </c>
      <c r="N607" s="92">
        <f>K607</f>
        <v>-0.04</v>
      </c>
      <c r="O607" s="42"/>
      <c r="P607" s="42"/>
      <c r="Q607" s="92">
        <f>SUM(L607:M607)</f>
        <v>14150</v>
      </c>
      <c r="R607" s="82" t="e">
        <f>ROUND(SUM(K607:M607)*(R606-1),2)</f>
        <v>#N/A</v>
      </c>
      <c r="S607" s="42">
        <f>ROUND($B607*S$564*S606,2)</f>
        <v>0</v>
      </c>
      <c r="T607" s="42">
        <f>ROUND($B607*T$564,2)</f>
        <v>0</v>
      </c>
      <c r="U607" s="42">
        <f>ROUND($B607*U$564,2)</f>
        <v>0</v>
      </c>
      <c r="V607" s="87">
        <f>ROUND($B607*V$558,2)</f>
        <v>0</v>
      </c>
      <c r="W607" s="42">
        <f>ROUND($B607*W$564,2)</f>
        <v>0</v>
      </c>
      <c r="X607" s="42">
        <f>ROUND($B607*X$564,2)</f>
        <v>0</v>
      </c>
      <c r="Y607" s="42">
        <f>ROUND($B607*Y$564,2)</f>
        <v>0</v>
      </c>
      <c r="Z607" s="42">
        <f>ROUND($B607*Z$564,2)</f>
        <v>0</v>
      </c>
      <c r="AA607" s="42">
        <f>ROUND($B607*AA$564,2)</f>
        <v>0</v>
      </c>
      <c r="AB607" s="19">
        <f>SUM(U$564:AA$564)+(-V$564+V569)</f>
        <v>-7.6299999999999996E-3</v>
      </c>
      <c r="AC607" s="94" t="str">
        <f>+F607</f>
        <v>PL9</v>
      </c>
    </row>
    <row r="608" spans="1:29" x14ac:dyDescent="0.2">
      <c r="A608" s="53"/>
      <c r="B608" s="97">
        <v>-1</v>
      </c>
      <c r="D608" s="41"/>
      <c r="E608" s="80"/>
      <c r="F608" s="36"/>
      <c r="G608" s="42"/>
      <c r="H608" s="19"/>
      <c r="I608" s="19"/>
      <c r="J608" s="88"/>
      <c r="K608" s="42"/>
      <c r="L608" s="42"/>
      <c r="M608" s="42"/>
      <c r="N608" s="42"/>
      <c r="O608" s="42"/>
      <c r="P608" s="42"/>
      <c r="Q608" s="42"/>
      <c r="R608" s="38" t="e">
        <f>VLOOKUP((D609),'Pwr Factor'!$A$1:$B$52,2)</f>
        <v>#N/A</v>
      </c>
      <c r="S608" s="50">
        <v>1</v>
      </c>
      <c r="T608" s="42"/>
      <c r="U608" s="42"/>
      <c r="V608" s="41"/>
      <c r="W608" s="42"/>
      <c r="X608" s="42"/>
      <c r="Y608" s="42"/>
      <c r="Z608" s="42"/>
      <c r="AA608" s="42"/>
      <c r="AB608" s="19"/>
      <c r="AC608" s="67"/>
    </row>
    <row r="609" spans="1:44" s="21" customFormat="1" ht="13.5" thickBot="1" x14ac:dyDescent="0.25">
      <c r="A609" s="1" t="s">
        <v>148</v>
      </c>
      <c r="B609" s="103">
        <f>IF(AND('AES Indiana Bill Calc.'!$D$17="PL",'AES Indiana Bill Calc.'!$D$18="Yes 100%",'AES Indiana Bill Calc.'!$D$20="Yes 2020"),'AES Indiana Bill Calc.'!$D$19,-1)</f>
        <v>-1</v>
      </c>
      <c r="C609" s="103">
        <f>MAX(E609,$C$562)</f>
        <v>500</v>
      </c>
      <c r="D609" s="103" t="b">
        <f>IF(AND('AES Indiana Bill Calc.'!$D$17="PL",'AES Indiana Bill Calc.'!$D$18="Yes 100%",'AES Indiana Bill Calc.'!$D$20="Yes 2020"),'AES Indiana Bill Calc.'!$D$22)</f>
        <v>0</v>
      </c>
      <c r="E609" s="103" t="b">
        <f>IF(AND('AES Indiana Bill Calc.'!$D$17="PL",'AES Indiana Bill Calc.'!$D$18="Yes 100%",'AES Indiana Bill Calc.'!$D$20="Yes 2020"),'AES Indiana Bill Calc.'!$D$21)</f>
        <v>0</v>
      </c>
      <c r="F609" s="36" t="s">
        <v>216</v>
      </c>
      <c r="G609" s="42" t="e">
        <f>SUM(J609:M609,R609:AA609)</f>
        <v>#N/A</v>
      </c>
      <c r="H609" s="19" t="e">
        <f>IF(ISBLANK(B609),0,+#REF!/B609)</f>
        <v>#REF!</v>
      </c>
      <c r="I609" s="19"/>
      <c r="J609" s="88">
        <f>IF(ISBLANK(B609),0,+J$564)</f>
        <v>130</v>
      </c>
      <c r="K609" s="42">
        <f>ROUND($B609*K$564,2)</f>
        <v>-0.04</v>
      </c>
      <c r="L609" s="92">
        <f>IF($C609&gt;L$565,ROUND(L$565*L$564,2),ROUND($C609*L$564,2))</f>
        <v>14150</v>
      </c>
      <c r="M609" s="92">
        <f>IF($C609&gt;L$565,ROUND(($C609-L$565)*M$564,2),0)</f>
        <v>0</v>
      </c>
      <c r="N609" s="92">
        <f>K609</f>
        <v>-0.04</v>
      </c>
      <c r="O609" s="42"/>
      <c r="P609" s="42"/>
      <c r="Q609" s="92">
        <f>SUM(L609:M609)</f>
        <v>14150</v>
      </c>
      <c r="R609" s="82" t="e">
        <f>ROUND(SUM(K609:M609)*(R608-1),2)</f>
        <v>#N/A</v>
      </c>
      <c r="S609" s="42">
        <f>ROUND($B609*S$564*S608,2)</f>
        <v>0</v>
      </c>
      <c r="T609" s="42">
        <f>ROUND($B609*T$564,2)</f>
        <v>0</v>
      </c>
      <c r="U609" s="42">
        <f>ROUND($B609*U$564,2)</f>
        <v>0</v>
      </c>
      <c r="V609" s="41">
        <f>ROUND($B609*V$559,2)</f>
        <v>0</v>
      </c>
      <c r="W609" s="42">
        <f>ROUND($B609*W$564,2)</f>
        <v>0</v>
      </c>
      <c r="X609" s="42">
        <f>ROUND($B609*X$564,2)</f>
        <v>0</v>
      </c>
      <c r="Y609" s="42">
        <f>ROUND($B609*Y$564,2)</f>
        <v>0</v>
      </c>
      <c r="Z609" s="42">
        <f>ROUND($B609*Z$564,2)</f>
        <v>0</v>
      </c>
      <c r="AA609" s="42">
        <f>ROUND($B609*AA$564,2)</f>
        <v>0</v>
      </c>
      <c r="AB609" s="19">
        <f>SUM(U$564:AA$564)+(-V$564+V559)</f>
        <v>2.8309999999999993E-3</v>
      </c>
      <c r="AC609" s="94" t="str">
        <f>+F609</f>
        <v>PL0</v>
      </c>
      <c r="AD609"/>
      <c r="AE609"/>
      <c r="AF609"/>
      <c r="AG609"/>
      <c r="AH609"/>
      <c r="AI609"/>
      <c r="AJ609"/>
      <c r="AK609"/>
      <c r="AL609"/>
      <c r="AM609"/>
      <c r="AN609"/>
      <c r="AO609"/>
      <c r="AP609"/>
      <c r="AQ609"/>
      <c r="AR609"/>
    </row>
    <row r="610" spans="1:44" x14ac:dyDescent="0.2">
      <c r="A610" s="9"/>
      <c r="B610" s="97">
        <v>-1</v>
      </c>
      <c r="D610" s="41"/>
      <c r="E610" s="80"/>
      <c r="F610" s="36"/>
      <c r="G610" s="42"/>
      <c r="H610" s="19"/>
      <c r="I610" s="19"/>
      <c r="J610" s="88"/>
      <c r="K610" s="42"/>
      <c r="L610" s="42"/>
      <c r="M610" s="42"/>
      <c r="N610" s="42"/>
      <c r="O610" s="42"/>
      <c r="P610" s="42"/>
      <c r="Q610" s="42"/>
      <c r="R610" s="38" t="e">
        <f>VLOOKUP((D611),'Pwr Factor'!$A$1:$B$52,2)</f>
        <v>#N/A</v>
      </c>
      <c r="S610" s="50">
        <v>0.5</v>
      </c>
      <c r="T610" s="42"/>
      <c r="U610" s="42"/>
      <c r="V610" s="41"/>
      <c r="W610" s="42"/>
      <c r="X610" s="42"/>
      <c r="Y610" s="42"/>
      <c r="Z610" s="42"/>
      <c r="AA610" s="42"/>
      <c r="AB610" s="19"/>
      <c r="AC610" s="67"/>
    </row>
    <row r="611" spans="1:44" x14ac:dyDescent="0.2">
      <c r="A611" s="1" t="s">
        <v>149</v>
      </c>
      <c r="B611" s="103">
        <f>IF(AND('AES Indiana Bill Calc.'!$D$17="PL",'AES Indiana Bill Calc.'!$D$18="Yes 50%",'AES Indiana Bill Calc.'!$D$20="Yes 2020"),'AES Indiana Bill Calc.'!$D$19,-1)</f>
        <v>-1</v>
      </c>
      <c r="C611" s="103">
        <f>MAX(E611,$C$562)</f>
        <v>500</v>
      </c>
      <c r="D611" s="103" t="b">
        <f>IF(AND('AES Indiana Bill Calc.'!$D$17="PL",'AES Indiana Bill Calc.'!$D$18="Yes 50%",'AES Indiana Bill Calc.'!$D$20="Yes 2020"),'AES Indiana Bill Calc.'!$D$22)</f>
        <v>0</v>
      </c>
      <c r="E611" s="103" t="b">
        <f>IF(AND('AES Indiana Bill Calc.'!$D$17="PL",'AES Indiana Bill Calc.'!$D$18="Yes 50%",'AES Indiana Bill Calc.'!$D$20="Yes 2020"),'AES Indiana Bill Calc.'!$D$21)</f>
        <v>0</v>
      </c>
      <c r="F611" s="36" t="s">
        <v>216</v>
      </c>
      <c r="G611" s="42" t="e">
        <f>SUM(J611:M611,R611:AA611)</f>
        <v>#N/A</v>
      </c>
      <c r="H611" s="19" t="e">
        <f>IF(ISBLANK(B611),0,+#REF!/B611)</f>
        <v>#REF!</v>
      </c>
      <c r="I611" s="19"/>
      <c r="J611" s="88">
        <f>IF(ISBLANK(B611),0,+J$564)</f>
        <v>130</v>
      </c>
      <c r="K611" s="42">
        <f>ROUND($B611*K$564,2)</f>
        <v>-0.04</v>
      </c>
      <c r="L611" s="92">
        <f>IF($C611&gt;L$565,ROUND(L$565*L$564,2),ROUND($C611*L$564,2))</f>
        <v>14150</v>
      </c>
      <c r="M611" s="92">
        <f>IF($C611&gt;L$565,ROUND(($C611-L$565)*M$564,2),0)</f>
        <v>0</v>
      </c>
      <c r="N611" s="92">
        <f>K611</f>
        <v>-0.04</v>
      </c>
      <c r="O611" s="42"/>
      <c r="P611" s="42"/>
      <c r="Q611" s="92">
        <f>SUM(L611:M611)</f>
        <v>14150</v>
      </c>
      <c r="R611" s="82" t="e">
        <f>ROUND(SUM(K611:M611)*(R610-1),2)</f>
        <v>#N/A</v>
      </c>
      <c r="S611" s="42">
        <f>ROUND($B611*S$564*S610,2)</f>
        <v>0</v>
      </c>
      <c r="T611" s="42">
        <f>ROUND($B611*T$564,2)</f>
        <v>0</v>
      </c>
      <c r="U611" s="42">
        <f>ROUND($B611*U$564,2)</f>
        <v>0</v>
      </c>
      <c r="V611" s="41">
        <f>ROUND($B611*V$559,2)</f>
        <v>0</v>
      </c>
      <c r="W611" s="42">
        <f>ROUND($B611*W$564,2)</f>
        <v>0</v>
      </c>
      <c r="X611" s="42">
        <f>ROUND($B611*X$564,2)</f>
        <v>0</v>
      </c>
      <c r="Y611" s="42">
        <f>ROUND($B611*Y$564,2)</f>
        <v>0</v>
      </c>
      <c r="Z611" s="42">
        <f>ROUND($B611*Z$564,2)</f>
        <v>0</v>
      </c>
      <c r="AA611" s="42">
        <f>ROUND($B611*AA$564,2)</f>
        <v>0</v>
      </c>
      <c r="AB611" s="19">
        <f>SUM(U$564:AA$564)+(-V$564+V561)</f>
        <v>2.3699999999999997E-3</v>
      </c>
      <c r="AC611" s="94" t="str">
        <f>+F611</f>
        <v>PL0</v>
      </c>
    </row>
    <row r="612" spans="1:44" x14ac:dyDescent="0.2">
      <c r="A612" s="9"/>
      <c r="B612" s="97">
        <v>-1</v>
      </c>
      <c r="D612" s="41"/>
      <c r="E612" s="80"/>
      <c r="F612" s="36"/>
      <c r="G612" s="42"/>
      <c r="H612" s="19"/>
      <c r="I612" s="19"/>
      <c r="J612" s="88"/>
      <c r="K612" s="42"/>
      <c r="L612" s="42"/>
      <c r="M612" s="42"/>
      <c r="N612" s="42"/>
      <c r="O612" s="42"/>
      <c r="P612" s="42"/>
      <c r="Q612" s="42"/>
      <c r="R612" s="38" t="e">
        <f>VLOOKUP((D613),'Pwr Factor'!$A$1:$B$52,2)</f>
        <v>#N/A</v>
      </c>
      <c r="S612" s="50">
        <v>0.25</v>
      </c>
      <c r="T612" s="42"/>
      <c r="U612" s="42"/>
      <c r="V612" s="41"/>
      <c r="W612" s="42"/>
      <c r="X612" s="42"/>
      <c r="Y612" s="42"/>
      <c r="Z612" s="42"/>
      <c r="AA612" s="42"/>
      <c r="AB612" s="19"/>
      <c r="AC612" s="67"/>
    </row>
    <row r="613" spans="1:44" x14ac:dyDescent="0.2">
      <c r="A613" s="1" t="s">
        <v>150</v>
      </c>
      <c r="B613" s="103">
        <f>IF(AND('AES Indiana Bill Calc.'!$D$17="PL",'AES Indiana Bill Calc.'!$D$18="Yes 25%",'AES Indiana Bill Calc.'!$D$20="Yes 2020"),'AES Indiana Bill Calc.'!$D$19,-1)</f>
        <v>-1</v>
      </c>
      <c r="C613" s="103">
        <f>MAX(E613,$C$562)</f>
        <v>500</v>
      </c>
      <c r="D613" s="103" t="b">
        <f>IF(AND('AES Indiana Bill Calc.'!$D$17="PL",'AES Indiana Bill Calc.'!$D$18="Yes 25%",'AES Indiana Bill Calc.'!$D$20="Yes 2020"),'AES Indiana Bill Calc.'!$D$22)</f>
        <v>0</v>
      </c>
      <c r="E613" s="103" t="b">
        <f>IF(AND('AES Indiana Bill Calc.'!$D$17="PL",'AES Indiana Bill Calc.'!$D$18="Yes 25%",'AES Indiana Bill Calc.'!$D$20="Yes 2020"),'AES Indiana Bill Calc.'!$D$21)</f>
        <v>0</v>
      </c>
      <c r="F613" s="36" t="s">
        <v>216</v>
      </c>
      <c r="G613" s="42" t="e">
        <f>SUM(J613:M613,R613:AA613)</f>
        <v>#N/A</v>
      </c>
      <c r="H613" s="19" t="e">
        <f>IF(ISBLANK(B613),0,+#REF!/B613)</f>
        <v>#REF!</v>
      </c>
      <c r="I613" s="19"/>
      <c r="J613" s="88">
        <f>IF(ISBLANK(B613),0,+J$564)</f>
        <v>130</v>
      </c>
      <c r="K613" s="42">
        <f>ROUND($B613*K$564,2)</f>
        <v>-0.04</v>
      </c>
      <c r="L613" s="92">
        <f>IF($C613&gt;L$565,ROUND(L$565*L$564,2),ROUND($C613*L$564,2))</f>
        <v>14150</v>
      </c>
      <c r="M613" s="92">
        <f>IF($C613&gt;L$565,ROUND(($C613-L$565)*M$564,2),0)</f>
        <v>0</v>
      </c>
      <c r="N613" s="92">
        <f>K613</f>
        <v>-0.04</v>
      </c>
      <c r="O613" s="42"/>
      <c r="P613" s="42"/>
      <c r="Q613" s="92">
        <f>SUM(L613:M613)</f>
        <v>14150</v>
      </c>
      <c r="R613" s="82" t="e">
        <f>ROUND(SUM(K613:M613)*(R612-1),2)</f>
        <v>#N/A</v>
      </c>
      <c r="S613" s="42">
        <f>ROUND($B613*S$564*S612,2)</f>
        <v>0</v>
      </c>
      <c r="T613" s="42">
        <f>ROUND($B613*T$564,2)</f>
        <v>0</v>
      </c>
      <c r="U613" s="42">
        <f>ROUND($B613*U$564,2)</f>
        <v>0</v>
      </c>
      <c r="V613" s="41">
        <f>ROUND($B613*V$559,2)</f>
        <v>0</v>
      </c>
      <c r="W613" s="42">
        <f>ROUND($B613*W$564,2)</f>
        <v>0</v>
      </c>
      <c r="X613" s="42">
        <f>ROUND($B613*X$564,2)</f>
        <v>0</v>
      </c>
      <c r="Y613" s="42">
        <f>ROUND($B613*Y$564,2)</f>
        <v>0</v>
      </c>
      <c r="Z613" s="42">
        <f>ROUND($B613*Z$564,2)</f>
        <v>0</v>
      </c>
      <c r="AA613" s="42">
        <f>ROUND($B613*AA$564,2)</f>
        <v>0</v>
      </c>
      <c r="AB613" s="19">
        <f>SUM(U$564:AA$564)+(-V$564+V565)</f>
        <v>2.3699999999999997E-3</v>
      </c>
      <c r="AC613" s="94" t="str">
        <f>+F613</f>
        <v>PL0</v>
      </c>
    </row>
    <row r="614" spans="1:44" x14ac:dyDescent="0.2">
      <c r="A614" s="9"/>
      <c r="B614" s="97">
        <v>-1</v>
      </c>
      <c r="D614" s="41"/>
      <c r="E614" s="80"/>
      <c r="F614" s="36"/>
      <c r="G614" s="42"/>
      <c r="H614" s="19"/>
      <c r="I614" s="19"/>
      <c r="J614" s="88"/>
      <c r="K614" s="42"/>
      <c r="L614" s="42"/>
      <c r="M614" s="42"/>
      <c r="N614" s="42"/>
      <c r="O614" s="42"/>
      <c r="P614" s="42"/>
      <c r="Q614" s="42"/>
      <c r="R614" s="38" t="e">
        <f>VLOOKUP((D615),'Pwr Factor'!$A$1:$B$52,2)</f>
        <v>#N/A</v>
      </c>
      <c r="S614" s="50">
        <v>0.1</v>
      </c>
      <c r="T614" s="42"/>
      <c r="U614" s="42"/>
      <c r="V614" s="41"/>
      <c r="W614" s="42"/>
      <c r="X614" s="42"/>
      <c r="Y614" s="42"/>
      <c r="Z614" s="42"/>
      <c r="AA614" s="42"/>
      <c r="AB614" s="19"/>
      <c r="AC614" s="67"/>
    </row>
    <row r="615" spans="1:44" x14ac:dyDescent="0.2">
      <c r="A615" s="1" t="s">
        <v>164</v>
      </c>
      <c r="B615" s="103">
        <f>IF(AND('AES Indiana Bill Calc.'!$D$17="PL",'AES Indiana Bill Calc.'!$D$18="Yes 10%",'AES Indiana Bill Calc.'!$D$20="Yes 2020"),'AES Indiana Bill Calc.'!$D$19,-1)</f>
        <v>-1</v>
      </c>
      <c r="C615" s="103">
        <f>MAX(E615,$C$562)</f>
        <v>500</v>
      </c>
      <c r="D615" s="103" t="b">
        <f>IF(AND('AES Indiana Bill Calc.'!$D$17="PL",'AES Indiana Bill Calc.'!$D$18="Yes 10%",'AES Indiana Bill Calc.'!$D$20="Yes 2020"),'AES Indiana Bill Calc.'!$D$22)</f>
        <v>0</v>
      </c>
      <c r="E615" s="103" t="b">
        <f>IF(AND('AES Indiana Bill Calc.'!$D$17="PL",'AES Indiana Bill Calc.'!$D$18="Yes 10%",'AES Indiana Bill Calc.'!$D$20="Yes 2020"),'AES Indiana Bill Calc.'!$D$21)</f>
        <v>0</v>
      </c>
      <c r="F615" s="36" t="s">
        <v>216</v>
      </c>
      <c r="G615" s="42" t="e">
        <f>SUM(J615:M615,R615:AA615)</f>
        <v>#N/A</v>
      </c>
      <c r="H615" s="19" t="e">
        <f>IF(ISBLANK(B615),0,+#REF!/B615)</f>
        <v>#REF!</v>
      </c>
      <c r="I615" s="19"/>
      <c r="J615" s="88">
        <f>IF(ISBLANK(B615),0,+J$564)</f>
        <v>130</v>
      </c>
      <c r="K615" s="42">
        <f>ROUND($B615*K$564,2)</f>
        <v>-0.04</v>
      </c>
      <c r="L615" s="92">
        <f>IF($C615&gt;L$565,ROUND(L$565*L$564,2),ROUND($C615*L$564,2))</f>
        <v>14150</v>
      </c>
      <c r="M615" s="92">
        <f>IF($C615&gt;L$565,ROUND(($C615-L$565)*M$564,2),0)</f>
        <v>0</v>
      </c>
      <c r="N615" s="92">
        <f>K615</f>
        <v>-0.04</v>
      </c>
      <c r="O615" s="42"/>
      <c r="P615" s="42"/>
      <c r="Q615" s="92">
        <f>SUM(L615:M615)</f>
        <v>14150</v>
      </c>
      <c r="R615" s="82" t="e">
        <f>ROUND(SUM(K615:M615)*(R614-1),2)</f>
        <v>#N/A</v>
      </c>
      <c r="S615" s="42">
        <f>ROUND($B615*S$564*S614,2)</f>
        <v>0</v>
      </c>
      <c r="T615" s="42">
        <f>ROUND($B615*T$564,2)</f>
        <v>0</v>
      </c>
      <c r="U615" s="42">
        <f>ROUND($B615*U$564,2)</f>
        <v>0</v>
      </c>
      <c r="V615" s="41">
        <f>ROUND($B615*V$559,2)</f>
        <v>0</v>
      </c>
      <c r="W615" s="42">
        <f>ROUND($B615*W$564,2)</f>
        <v>0</v>
      </c>
      <c r="X615" s="42">
        <f>ROUND($B615*X$564,2)</f>
        <v>0</v>
      </c>
      <c r="Y615" s="42">
        <f>ROUND($B615*Y$564,2)</f>
        <v>0</v>
      </c>
      <c r="Z615" s="42">
        <f>ROUND($B615*Z$564,2)</f>
        <v>0</v>
      </c>
      <c r="AA615" s="42">
        <f>ROUND($B615*AA$564,2)</f>
        <v>0</v>
      </c>
      <c r="AB615" s="19" t="e">
        <f>SUM(U$564:AA$564)+(-V$564+V567)</f>
        <v>#VALUE!</v>
      </c>
      <c r="AC615" s="94" t="str">
        <f>+F615</f>
        <v>PL0</v>
      </c>
    </row>
    <row r="616" spans="1:44" x14ac:dyDescent="0.2">
      <c r="A616" s="9"/>
      <c r="B616" s="97">
        <v>-1</v>
      </c>
      <c r="D616" s="41"/>
      <c r="E616" s="80"/>
      <c r="F616" s="36"/>
      <c r="G616" s="42"/>
      <c r="H616" s="19"/>
      <c r="I616" s="19"/>
      <c r="J616" s="88"/>
      <c r="K616" s="42"/>
      <c r="L616" s="42"/>
      <c r="M616" s="42"/>
      <c r="N616" s="42"/>
      <c r="O616" s="42"/>
      <c r="P616" s="42"/>
      <c r="Q616" s="42"/>
      <c r="R616" s="38" t="e">
        <f>VLOOKUP((D617),'Pwr Factor'!$A$1:$B$52,2)</f>
        <v>#N/A</v>
      </c>
      <c r="S616" s="50">
        <v>0</v>
      </c>
      <c r="T616" s="42"/>
      <c r="U616" s="42"/>
      <c r="V616" s="41"/>
      <c r="W616" s="42"/>
      <c r="X616" s="42"/>
      <c r="Y616" s="42"/>
      <c r="Z616" s="42"/>
      <c r="AA616" s="42"/>
      <c r="AB616" s="19"/>
      <c r="AC616" s="67"/>
    </row>
    <row r="617" spans="1:44" x14ac:dyDescent="0.2">
      <c r="A617" s="1" t="s">
        <v>147</v>
      </c>
      <c r="B617" s="103">
        <f>IF(AND('AES Indiana Bill Calc.'!$D$17="PL",'AES Indiana Bill Calc.'!$D$18="No",'AES Indiana Bill Calc.'!$D$20="Yes 2020"),'AES Indiana Bill Calc.'!$D$19,-1)</f>
        <v>-1</v>
      </c>
      <c r="C617" s="103">
        <f>MAX(E617,$C$562)</f>
        <v>500</v>
      </c>
      <c r="D617" s="103" t="b">
        <f>IF(AND('AES Indiana Bill Calc.'!$D$17="PL",'AES Indiana Bill Calc.'!$D$18="No",'AES Indiana Bill Calc.'!$D$20="Yes 2020"),'AES Indiana Bill Calc.'!$D$22)</f>
        <v>0</v>
      </c>
      <c r="E617" s="103" t="b">
        <f>IF(AND('AES Indiana Bill Calc.'!$D$17="PL",'AES Indiana Bill Calc.'!$D$18="No",'AES Indiana Bill Calc.'!$D$20="Yes 2020"),'AES Indiana Bill Calc.'!$D$21)</f>
        <v>0</v>
      </c>
      <c r="F617" s="36" t="s">
        <v>216</v>
      </c>
      <c r="G617" s="42" t="e">
        <f>SUM(J617:M617,R617:AA617)</f>
        <v>#N/A</v>
      </c>
      <c r="H617" s="19" t="e">
        <f>IF(ISBLANK(B617),0,+#REF!/B617)</f>
        <v>#REF!</v>
      </c>
      <c r="I617" s="19"/>
      <c r="J617" s="88">
        <f>IF(ISBLANK(B617),0,+J$564)</f>
        <v>130</v>
      </c>
      <c r="K617" s="42">
        <f>ROUND($B617*K$564,2)</f>
        <v>-0.04</v>
      </c>
      <c r="L617" s="92">
        <f>IF($C617&gt;L$565,ROUND(L$565*L$564,2),ROUND($C617*L$564,2))</f>
        <v>14150</v>
      </c>
      <c r="M617" s="92">
        <f>IF($C617&gt;L$565,ROUND(($C617-L$565)*M$564,2),0)</f>
        <v>0</v>
      </c>
      <c r="N617" s="92">
        <f>K617</f>
        <v>-0.04</v>
      </c>
      <c r="O617" s="42"/>
      <c r="P617" s="42"/>
      <c r="Q617" s="92">
        <f>SUM(L617:M617)</f>
        <v>14150</v>
      </c>
      <c r="R617" s="82" t="e">
        <f>ROUND(SUM(K617:M617)*(R616-1),2)</f>
        <v>#N/A</v>
      </c>
      <c r="S617" s="42">
        <f>ROUND($B617*S$564*S616,2)</f>
        <v>0</v>
      </c>
      <c r="T617" s="42">
        <f>ROUND($B617*T$564,2)</f>
        <v>0</v>
      </c>
      <c r="U617" s="42">
        <f>ROUND($B617*U$564,2)</f>
        <v>0</v>
      </c>
      <c r="V617" s="41">
        <f>ROUND($B617*V$559,2)</f>
        <v>0</v>
      </c>
      <c r="W617" s="42">
        <f>ROUND($B617*W$564,2)</f>
        <v>0</v>
      </c>
      <c r="X617" s="42">
        <f>ROUND($B617*X$564,2)</f>
        <v>0</v>
      </c>
      <c r="Y617" s="42">
        <f>ROUND($B617*Y$564,2)</f>
        <v>0</v>
      </c>
      <c r="Z617" s="42">
        <f>ROUND($B617*Z$564,2)</f>
        <v>0</v>
      </c>
      <c r="AA617" s="42">
        <f>ROUND($B617*AA$564,2)</f>
        <v>0</v>
      </c>
      <c r="AB617" s="19">
        <f>SUM(U$564:AA$564)+(-V$564+V569)</f>
        <v>-7.6299999999999996E-3</v>
      </c>
      <c r="AC617" s="94" t="str">
        <f>+F617</f>
        <v>PL0</v>
      </c>
    </row>
    <row r="618" spans="1:44" x14ac:dyDescent="0.2">
      <c r="B618" s="97">
        <v>-1</v>
      </c>
      <c r="D618" s="41"/>
      <c r="E618" s="80"/>
      <c r="F618" s="36"/>
      <c r="G618" s="42"/>
      <c r="H618" s="19"/>
      <c r="I618" s="19"/>
      <c r="J618" s="88"/>
      <c r="K618" s="42"/>
      <c r="L618" s="42"/>
      <c r="M618" s="42"/>
      <c r="N618" s="42"/>
      <c r="O618" s="42"/>
      <c r="P618" s="42"/>
      <c r="Q618" s="42"/>
      <c r="R618" s="38" t="e">
        <f>VLOOKUP((D619),'Pwr Factor'!$A$1:$B$52,2)</f>
        <v>#N/A</v>
      </c>
      <c r="S618" s="50">
        <v>1</v>
      </c>
      <c r="T618" s="42"/>
      <c r="U618" s="42"/>
      <c r="V618" s="41"/>
      <c r="W618" s="42"/>
      <c r="X618" s="42"/>
      <c r="Y618" s="42"/>
      <c r="Z618" s="42"/>
      <c r="AA618" s="42"/>
      <c r="AB618" s="19"/>
      <c r="AC618" s="94"/>
    </row>
    <row r="619" spans="1:44" x14ac:dyDescent="0.2">
      <c r="A619" s="1" t="s">
        <v>148</v>
      </c>
      <c r="B619" s="103">
        <f>IF(AND('AES Indiana Bill Calc.'!$D$17="PL",'AES Indiana Bill Calc.'!$D$18="Yes 100%",'AES Indiana Bill Calc.'!$D$20="Yes 2021"),'AES Indiana Bill Calc.'!$D$19,-1)</f>
        <v>-1</v>
      </c>
      <c r="C619" s="103">
        <f>MAX(E619,$C$562)</f>
        <v>500</v>
      </c>
      <c r="D619" s="103" t="b">
        <f>IF(AND('AES Indiana Bill Calc.'!$D$17="PL",'AES Indiana Bill Calc.'!$D$18="Yes 100%",'AES Indiana Bill Calc.'!$D$20="Yes 2021"),'AES Indiana Bill Calc.'!$D$22)</f>
        <v>0</v>
      </c>
      <c r="E619" s="103" t="b">
        <f>IF(AND('AES Indiana Bill Calc.'!$D$17="PL",'AES Indiana Bill Calc.'!$D$18="Yes 100%",'AES Indiana Bill Calc.'!$D$20="Yes 2021"),'AES Indiana Bill Calc.'!$D$21)</f>
        <v>0</v>
      </c>
      <c r="F619" s="36" t="s">
        <v>217</v>
      </c>
      <c r="G619" s="42" t="e">
        <f>SUM(J619:M619,R619:AA619)</f>
        <v>#N/A</v>
      </c>
      <c r="H619" s="19" t="e">
        <f>IF(ISBLANK(B619),0,+#REF!/B619)</f>
        <v>#REF!</v>
      </c>
      <c r="I619" s="19"/>
      <c r="J619" s="88">
        <f>IF(ISBLANK(B619),0,+J$564)</f>
        <v>130</v>
      </c>
      <c r="K619" s="42">
        <f>ROUND($B619*K$564,2)</f>
        <v>-0.04</v>
      </c>
      <c r="L619" s="92">
        <f>IF($C619&gt;L$565,ROUND(L$565*L$564,2),ROUND($C619*L$564,2))</f>
        <v>14150</v>
      </c>
      <c r="M619" s="92">
        <f>IF($C619&gt;L$565,ROUND(($C619-L$565)*M$564,2),0)</f>
        <v>0</v>
      </c>
      <c r="N619" s="92">
        <f>K619</f>
        <v>-0.04</v>
      </c>
      <c r="O619" s="42"/>
      <c r="P619" s="42"/>
      <c r="Q619" s="92">
        <f>SUM(L619:M619)</f>
        <v>14150</v>
      </c>
      <c r="R619" s="82" t="e">
        <f>ROUND(SUM(K619:M619)*(R618-1),2)</f>
        <v>#N/A</v>
      </c>
      <c r="S619" s="42">
        <f>ROUND($B619*S$564*S618,2)</f>
        <v>0</v>
      </c>
      <c r="T619" s="42">
        <f>ROUND($B619*T$564,2)</f>
        <v>0</v>
      </c>
      <c r="U619" s="42">
        <f>ROUND($B619*U$564,2)</f>
        <v>0</v>
      </c>
      <c r="V619" s="41">
        <f>ROUND($B619*V$560,2)</f>
        <v>0</v>
      </c>
      <c r="W619" s="42">
        <f>ROUND($B619*W$564,2)</f>
        <v>0</v>
      </c>
      <c r="X619" s="42">
        <f>ROUND($B619*X$564,2)</f>
        <v>0</v>
      </c>
      <c r="Y619" s="42">
        <f>ROUND($B619*Y$564,2)</f>
        <v>0</v>
      </c>
      <c r="Z619" s="42">
        <f>ROUND($B619*Z$564,2)</f>
        <v>0</v>
      </c>
      <c r="AA619" s="42">
        <f>ROUND($B619*AA$564,2)</f>
        <v>0</v>
      </c>
      <c r="AB619" s="19">
        <f>SUM(U$564:AA$564)+(-V$564+V564)</f>
        <v>7.894E-3</v>
      </c>
      <c r="AC619" s="94" t="str">
        <f>+F619</f>
        <v>PL1</v>
      </c>
    </row>
    <row r="620" spans="1:44" x14ac:dyDescent="0.2">
      <c r="A620" s="9"/>
      <c r="B620" s="97">
        <v>-1</v>
      </c>
      <c r="D620" s="41"/>
      <c r="E620" s="80"/>
      <c r="F620" s="36"/>
      <c r="G620" s="42"/>
      <c r="H620" s="19"/>
      <c r="I620" s="19"/>
      <c r="J620" s="88"/>
      <c r="K620" s="42"/>
      <c r="L620" s="42"/>
      <c r="M620" s="42"/>
      <c r="N620" s="42"/>
      <c r="O620" s="42"/>
      <c r="P620" s="42"/>
      <c r="Q620" s="42"/>
      <c r="R620" s="38" t="e">
        <f>VLOOKUP((D621),'Pwr Factor'!$A$1:$B$52,2)</f>
        <v>#N/A</v>
      </c>
      <c r="S620" s="50">
        <v>0.5</v>
      </c>
      <c r="T620" s="42"/>
      <c r="U620" s="42"/>
      <c r="V620" s="41"/>
      <c r="W620" s="42"/>
      <c r="X620" s="42"/>
      <c r="Y620" s="42"/>
      <c r="Z620" s="42"/>
      <c r="AA620" s="42"/>
      <c r="AB620" s="19"/>
      <c r="AC620" s="94"/>
    </row>
    <row r="621" spans="1:44" x14ac:dyDescent="0.2">
      <c r="A621" s="1" t="s">
        <v>149</v>
      </c>
      <c r="B621" s="103">
        <f>IF(AND('AES Indiana Bill Calc.'!$D$17="PL",'AES Indiana Bill Calc.'!$D$18="Yes 50%",'AES Indiana Bill Calc.'!$D$20="Yes 2021"),'AES Indiana Bill Calc.'!$D$19,-1)</f>
        <v>-1</v>
      </c>
      <c r="C621" s="103">
        <f>MAX(E621,$C$562)</f>
        <v>500</v>
      </c>
      <c r="D621" s="103" t="b">
        <f>IF(AND('AES Indiana Bill Calc.'!$D$17="PL",'AES Indiana Bill Calc.'!$D$18="Yes 50%",'AES Indiana Bill Calc.'!$D$20="Yes 2021"),'AES Indiana Bill Calc.'!$D$22)</f>
        <v>0</v>
      </c>
      <c r="E621" s="103" t="b">
        <f>IF(AND('AES Indiana Bill Calc.'!$D$17="PL",'AES Indiana Bill Calc.'!$D$18="Yes 50%",'AES Indiana Bill Calc.'!$D$20="Yes 2021"),'AES Indiana Bill Calc.'!$D$21)</f>
        <v>0</v>
      </c>
      <c r="F621" s="36" t="s">
        <v>217</v>
      </c>
      <c r="G621" s="42" t="e">
        <f>SUM(J621:M621,R621:AA621)</f>
        <v>#N/A</v>
      </c>
      <c r="H621" s="19" t="e">
        <f>IF(ISBLANK(B621),0,+#REF!/B621)</f>
        <v>#REF!</v>
      </c>
      <c r="I621" s="19"/>
      <c r="J621" s="88">
        <f>IF(ISBLANK(B621),0,+J$564)</f>
        <v>130</v>
      </c>
      <c r="K621" s="42">
        <f>ROUND($B621*K$564,2)</f>
        <v>-0.04</v>
      </c>
      <c r="L621" s="92">
        <f>IF($C621&gt;L$565,ROUND(L$565*L$564,2),ROUND($C621*L$564,2))</f>
        <v>14150</v>
      </c>
      <c r="M621" s="92">
        <f>IF($C621&gt;L$565,ROUND(($C621-L$565)*M$564,2),0)</f>
        <v>0</v>
      </c>
      <c r="N621" s="92">
        <f>K621</f>
        <v>-0.04</v>
      </c>
      <c r="O621" s="42"/>
      <c r="P621" s="42"/>
      <c r="Q621" s="92">
        <f>SUM(L621:M621)</f>
        <v>14150</v>
      </c>
      <c r="R621" s="82" t="e">
        <f>ROUND(SUM(K621:M621)*(R620-1),2)</f>
        <v>#N/A</v>
      </c>
      <c r="S621" s="42">
        <f>ROUND($B621*S$564*S620,2)</f>
        <v>0</v>
      </c>
      <c r="T621" s="42">
        <f>ROUND($B621*T$564,2)</f>
        <v>0</v>
      </c>
      <c r="U621" s="42">
        <f>ROUND($B621*U$564,2)</f>
        <v>0</v>
      </c>
      <c r="V621" s="41">
        <f>ROUND($B621*V$560,2)</f>
        <v>0</v>
      </c>
      <c r="W621" s="42">
        <f>ROUND($B621*W$564,2)</f>
        <v>0</v>
      </c>
      <c r="X621" s="42">
        <f>ROUND($B621*X$564,2)</f>
        <v>0</v>
      </c>
      <c r="Y621" s="42">
        <f>ROUND($B621*Y$564,2)</f>
        <v>0</v>
      </c>
      <c r="Z621" s="42">
        <f>ROUND($B621*Z$564,2)</f>
        <v>0</v>
      </c>
      <c r="AA621" s="42">
        <f>ROUND($B621*AA$564,2)</f>
        <v>0</v>
      </c>
      <c r="AB621" s="19">
        <f>SUM(U$564:AA$564)+(-V$564+V566)</f>
        <v>22.002369999999999</v>
      </c>
      <c r="AC621" s="94" t="str">
        <f>+F621</f>
        <v>PL1</v>
      </c>
    </row>
    <row r="622" spans="1:44" x14ac:dyDescent="0.2">
      <c r="A622" s="9"/>
      <c r="B622" s="97">
        <v>-1</v>
      </c>
      <c r="D622" s="41"/>
      <c r="E622" s="80"/>
      <c r="F622" s="36"/>
      <c r="G622" s="42"/>
      <c r="H622" s="19"/>
      <c r="I622" s="19"/>
      <c r="J622" s="88"/>
      <c r="K622" s="42"/>
      <c r="L622" s="42"/>
      <c r="M622" s="42"/>
      <c r="N622" s="42"/>
      <c r="O622" s="42"/>
      <c r="P622" s="42"/>
      <c r="Q622" s="42"/>
      <c r="R622" s="38" t="e">
        <f>VLOOKUP((D623),'Pwr Factor'!$A$1:$B$52,2)</f>
        <v>#N/A</v>
      </c>
      <c r="S622" s="50">
        <v>0.25</v>
      </c>
      <c r="T622" s="42"/>
      <c r="U622" s="42"/>
      <c r="V622" s="41"/>
      <c r="W622" s="42"/>
      <c r="X622" s="42"/>
      <c r="Y622" s="42"/>
      <c r="Z622" s="42"/>
      <c r="AA622" s="42"/>
      <c r="AB622" s="19"/>
      <c r="AC622" s="94"/>
    </row>
    <row r="623" spans="1:44" x14ac:dyDescent="0.2">
      <c r="A623" s="1" t="s">
        <v>150</v>
      </c>
      <c r="B623" s="103">
        <f>IF(AND('AES Indiana Bill Calc.'!$D$17="PL",'AES Indiana Bill Calc.'!$D$18="Yes 25%",'AES Indiana Bill Calc.'!$D$20="Yes 2021"),'AES Indiana Bill Calc.'!$D$19,-1)</f>
        <v>-1</v>
      </c>
      <c r="C623" s="103">
        <f>MAX(E623,$C$562)</f>
        <v>500</v>
      </c>
      <c r="D623" s="103" t="b">
        <f>IF(AND('AES Indiana Bill Calc.'!$D$17="PL",'AES Indiana Bill Calc.'!$D$18="Yes 25%",'AES Indiana Bill Calc.'!$D$20="Yes 2021"),'AES Indiana Bill Calc.'!$D$22)</f>
        <v>0</v>
      </c>
      <c r="E623" s="103" t="b">
        <f>IF(AND('AES Indiana Bill Calc.'!$D$17="PL",'AES Indiana Bill Calc.'!$D$18="Yes 25%",'AES Indiana Bill Calc.'!$D$20="Yes 2021"),'AES Indiana Bill Calc.'!$D$21)</f>
        <v>0</v>
      </c>
      <c r="F623" s="36" t="s">
        <v>217</v>
      </c>
      <c r="G623" s="42" t="e">
        <f>SUM(J623:M623,R623:AA623)</f>
        <v>#N/A</v>
      </c>
      <c r="H623" s="19" t="e">
        <f>IF(ISBLANK(B623),0,+#REF!/B623)</f>
        <v>#REF!</v>
      </c>
      <c r="I623" s="19"/>
      <c r="J623" s="88">
        <f>IF(ISBLANK(B623),0,+J$564)</f>
        <v>130</v>
      </c>
      <c r="K623" s="42">
        <f>ROUND($B623*K$564,2)</f>
        <v>-0.04</v>
      </c>
      <c r="L623" s="92">
        <f>IF($C623&gt;L$565,ROUND(L$565*L$564,2),ROUND($C623*L$564,2))</f>
        <v>14150</v>
      </c>
      <c r="M623" s="92">
        <f>IF($C623&gt;L$565,ROUND(($C623-L$565)*M$564,2),0)</f>
        <v>0</v>
      </c>
      <c r="N623" s="92">
        <f>K623</f>
        <v>-0.04</v>
      </c>
      <c r="O623" s="42"/>
      <c r="P623" s="42"/>
      <c r="Q623" s="92">
        <f>SUM(L623:M623)</f>
        <v>14150</v>
      </c>
      <c r="R623" s="82" t="e">
        <f>ROUND(SUM(K623:M623)*(R622-1),2)</f>
        <v>#N/A</v>
      </c>
      <c r="S623" s="42">
        <f>ROUND($B623*S$564*S622,2)</f>
        <v>0</v>
      </c>
      <c r="T623" s="42">
        <f>ROUND($B623*T$564,2)</f>
        <v>0</v>
      </c>
      <c r="U623" s="42">
        <f>ROUND($B623*U$564,2)</f>
        <v>0</v>
      </c>
      <c r="V623" s="41">
        <f>ROUND($B623*V$560,2)</f>
        <v>0</v>
      </c>
      <c r="W623" s="42">
        <f>ROUND($B623*W$564,2)</f>
        <v>0</v>
      </c>
      <c r="X623" s="42">
        <f>ROUND($B623*X$564,2)</f>
        <v>0</v>
      </c>
      <c r="Y623" s="42">
        <f>ROUND($B623*Y$564,2)</f>
        <v>0</v>
      </c>
      <c r="Z623" s="42">
        <f>ROUND($B623*Z$564,2)</f>
        <v>0</v>
      </c>
      <c r="AA623" s="42">
        <f>ROUND($B623*AA$564,2)</f>
        <v>0</v>
      </c>
      <c r="AB623" s="19">
        <f>SUM(U$564:AA$564)+(-V$564+V568)</f>
        <v>2.3699999999999997E-3</v>
      </c>
      <c r="AC623" s="94" t="str">
        <f>+F623</f>
        <v>PL1</v>
      </c>
    </row>
    <row r="624" spans="1:44" x14ac:dyDescent="0.2">
      <c r="A624" s="9"/>
      <c r="B624" s="97">
        <v>-1</v>
      </c>
      <c r="D624" s="41"/>
      <c r="E624" s="80"/>
      <c r="F624" s="36"/>
      <c r="G624" s="42"/>
      <c r="H624" s="19"/>
      <c r="I624" s="19"/>
      <c r="J624" s="88"/>
      <c r="K624" s="42"/>
      <c r="L624" s="42"/>
      <c r="M624" s="42"/>
      <c r="N624" s="42"/>
      <c r="O624" s="42"/>
      <c r="P624" s="42"/>
      <c r="Q624" s="42"/>
      <c r="R624" s="38" t="e">
        <f>VLOOKUP((D625),'Pwr Factor'!$A$1:$B$52,2)</f>
        <v>#N/A</v>
      </c>
      <c r="S624" s="50">
        <v>0.1</v>
      </c>
      <c r="T624" s="42"/>
      <c r="U624" s="42"/>
      <c r="V624" s="41"/>
      <c r="W624" s="42"/>
      <c r="X624" s="42"/>
      <c r="Y624" s="42"/>
      <c r="Z624" s="42"/>
      <c r="AA624" s="42"/>
      <c r="AB624" s="19"/>
      <c r="AC624" s="94"/>
    </row>
    <row r="625" spans="1:29" x14ac:dyDescent="0.2">
      <c r="A625" s="1" t="s">
        <v>164</v>
      </c>
      <c r="B625" s="103">
        <f>IF(AND('AES Indiana Bill Calc.'!$D$17="PL",'AES Indiana Bill Calc.'!$D$18="Yes 10%",'AES Indiana Bill Calc.'!$D$20="Yes 2021"),'AES Indiana Bill Calc.'!$D$19,-1)</f>
        <v>-1</v>
      </c>
      <c r="C625" s="103">
        <f>MAX(E625,$C$562)</f>
        <v>500</v>
      </c>
      <c r="D625" s="103" t="b">
        <f>IF(AND('AES Indiana Bill Calc.'!$D$17="PL",'AES Indiana Bill Calc.'!$D$18="Yes 10%",'AES Indiana Bill Calc.'!$D$20="Yes 2021"),'AES Indiana Bill Calc.'!$D$22)</f>
        <v>0</v>
      </c>
      <c r="E625" s="103" t="b">
        <f>IF(AND('AES Indiana Bill Calc.'!$D$17="PL",'AES Indiana Bill Calc.'!$D$18="Yes 10%",'AES Indiana Bill Calc.'!$D$20="Yes 2021"),'AES Indiana Bill Calc.'!$D$21)</f>
        <v>0</v>
      </c>
      <c r="F625" s="36" t="s">
        <v>217</v>
      </c>
      <c r="G625" s="42" t="e">
        <f>SUM(J625:M625,R625:AA625)</f>
        <v>#N/A</v>
      </c>
      <c r="H625" s="19" t="e">
        <f>IF(ISBLANK(B625),0,+#REF!/B625)</f>
        <v>#REF!</v>
      </c>
      <c r="I625" s="19"/>
      <c r="J625" s="88">
        <f>IF(ISBLANK(B625),0,+J$564)</f>
        <v>130</v>
      </c>
      <c r="K625" s="42">
        <f>ROUND($B625*K$564,2)</f>
        <v>-0.04</v>
      </c>
      <c r="L625" s="92">
        <f>IF($C625&gt;L$565,ROUND(L$565*L$564,2),ROUND($C625*L$564,2))</f>
        <v>14150</v>
      </c>
      <c r="M625" s="92">
        <f>IF($C625&gt;L$565,ROUND(($C625-L$565)*M$564,2),0)</f>
        <v>0</v>
      </c>
      <c r="N625" s="92">
        <f>K625</f>
        <v>-0.04</v>
      </c>
      <c r="O625" s="42"/>
      <c r="P625" s="42"/>
      <c r="Q625" s="92">
        <f>SUM(L625:M625)</f>
        <v>14150</v>
      </c>
      <c r="R625" s="82" t="e">
        <f>ROUND(SUM(K625:M625)*(R624-1),2)</f>
        <v>#N/A</v>
      </c>
      <c r="S625" s="42">
        <f>ROUND($B625*S$564*S624,2)</f>
        <v>0</v>
      </c>
      <c r="T625" s="42">
        <f>ROUND($B625*T$564,2)</f>
        <v>0</v>
      </c>
      <c r="U625" s="42">
        <f>ROUND($B625*U$564,2)</f>
        <v>0</v>
      </c>
      <c r="V625" s="41">
        <f>ROUND($B625*V$560,2)</f>
        <v>0</v>
      </c>
      <c r="W625" s="42">
        <f>ROUND($B625*W$564,2)</f>
        <v>0</v>
      </c>
      <c r="X625" s="42">
        <f>ROUND($B625*X$564,2)</f>
        <v>0</v>
      </c>
      <c r="Y625" s="42">
        <f>ROUND($B625*Y$564,2)</f>
        <v>0</v>
      </c>
      <c r="Z625" s="42">
        <f>ROUND($B625*Z$564,2)</f>
        <v>0</v>
      </c>
      <c r="AA625" s="42">
        <f>ROUND($B625*AA$564,2)</f>
        <v>0</v>
      </c>
      <c r="AB625" s="19">
        <f>SUM(U$564:AA$564)+(-V$564+V570)</f>
        <v>2.3699999999999997E-3</v>
      </c>
      <c r="AC625" s="94" t="str">
        <f>+F625</f>
        <v>PL1</v>
      </c>
    </row>
    <row r="626" spans="1:29" x14ac:dyDescent="0.2">
      <c r="A626" s="9"/>
      <c r="B626" s="97">
        <v>-1</v>
      </c>
      <c r="D626" s="41"/>
      <c r="E626" s="80"/>
      <c r="F626" s="36"/>
      <c r="G626" s="42"/>
      <c r="H626" s="19"/>
      <c r="I626" s="19"/>
      <c r="J626" s="88"/>
      <c r="K626" s="42"/>
      <c r="L626" s="42"/>
      <c r="M626" s="42"/>
      <c r="N626" s="42"/>
      <c r="O626" s="42"/>
      <c r="P626" s="42"/>
      <c r="Q626" s="42"/>
      <c r="R626" s="38" t="e">
        <f>VLOOKUP((D627),'Pwr Factor'!$A$1:$B$52,2)</f>
        <v>#N/A</v>
      </c>
      <c r="S626" s="50">
        <v>0</v>
      </c>
      <c r="T626" s="42"/>
      <c r="U626" s="42"/>
      <c r="V626" s="41"/>
      <c r="W626" s="42"/>
      <c r="X626" s="42"/>
      <c r="Y626" s="42"/>
      <c r="Z626" s="42"/>
      <c r="AA626" s="42"/>
      <c r="AB626" s="19"/>
      <c r="AC626" s="94"/>
    </row>
    <row r="627" spans="1:29" x14ac:dyDescent="0.2">
      <c r="A627" s="1" t="s">
        <v>147</v>
      </c>
      <c r="B627" s="103">
        <f>IF(AND('AES Indiana Bill Calc.'!$D$17="PL",'AES Indiana Bill Calc.'!$D$18="No",'AES Indiana Bill Calc.'!$D$20="Yes 2021"),'AES Indiana Bill Calc.'!$D$19,-1)</f>
        <v>-1</v>
      </c>
      <c r="C627" s="103">
        <f>MAX(E627,$C$562)</f>
        <v>500</v>
      </c>
      <c r="D627" s="103" t="b">
        <f>IF(AND('AES Indiana Bill Calc.'!$D$17="PL",'AES Indiana Bill Calc.'!$D$18="No",'AES Indiana Bill Calc.'!$D$20="Yes 2021"),'AES Indiana Bill Calc.'!$D$22)</f>
        <v>0</v>
      </c>
      <c r="E627" s="103" t="b">
        <f>IF(AND('AES Indiana Bill Calc.'!$D$17="PL",'AES Indiana Bill Calc.'!$D$18="No",'AES Indiana Bill Calc.'!$D$20="Yes 2021"),'AES Indiana Bill Calc.'!$D$21)</f>
        <v>0</v>
      </c>
      <c r="F627" s="36" t="s">
        <v>217</v>
      </c>
      <c r="G627" s="42" t="e">
        <f>SUM(J627:M627,R627:AA627)</f>
        <v>#N/A</v>
      </c>
      <c r="H627" s="19" t="e">
        <f>IF(ISBLANK(B627),0,+#REF!/B627)</f>
        <v>#REF!</v>
      </c>
      <c r="I627" s="19"/>
      <c r="J627" s="88">
        <f>IF(ISBLANK(B627),0,+J$564)</f>
        <v>130</v>
      </c>
      <c r="K627" s="42">
        <f>ROUND($B627*K$564,2)</f>
        <v>-0.04</v>
      </c>
      <c r="L627" s="92">
        <f>IF($C627&gt;L$565,ROUND(L$565*L$564,2),ROUND($C627*L$564,2))</f>
        <v>14150</v>
      </c>
      <c r="M627" s="92">
        <f>IF($C627&gt;L$565,ROUND(($C627-L$565)*M$564,2),0)</f>
        <v>0</v>
      </c>
      <c r="N627" s="92">
        <f>K627</f>
        <v>-0.04</v>
      </c>
      <c r="O627" s="42"/>
      <c r="P627" s="42"/>
      <c r="Q627" s="92">
        <f>SUM(L627:M627)</f>
        <v>14150</v>
      </c>
      <c r="R627" s="82" t="e">
        <f>ROUND(SUM(K627:M627)*(R626-1),2)</f>
        <v>#N/A</v>
      </c>
      <c r="S627" s="42">
        <f>ROUND($B627*S$564*S626,2)</f>
        <v>0</v>
      </c>
      <c r="T627" s="42">
        <f>ROUND($B627*T$564,2)</f>
        <v>0</v>
      </c>
      <c r="U627" s="42">
        <f>ROUND($B627*U$564,2)</f>
        <v>0</v>
      </c>
      <c r="V627" s="41">
        <f>ROUND($B627*V$560,2)</f>
        <v>0</v>
      </c>
      <c r="W627" s="42">
        <f>ROUND($B627*W$564,2)</f>
        <v>0</v>
      </c>
      <c r="X627" s="42">
        <f>ROUND($B627*X$564,2)</f>
        <v>0</v>
      </c>
      <c r="Y627" s="42">
        <f>ROUND($B627*Y$564,2)</f>
        <v>0</v>
      </c>
      <c r="Z627" s="42">
        <f>ROUND($B627*Z$564,2)</f>
        <v>0</v>
      </c>
      <c r="AA627" s="42">
        <f>ROUND($B627*AA$564,2)</f>
        <v>0</v>
      </c>
      <c r="AB627" s="19">
        <f>SUM(U$564:AA$564)+(-V$564+V572)</f>
        <v>2.3699999999999997E-3</v>
      </c>
      <c r="AC627" s="94" t="str">
        <f>+F627</f>
        <v>PL1</v>
      </c>
    </row>
    <row r="628" spans="1:29" x14ac:dyDescent="0.2">
      <c r="B628" s="97">
        <v>-1</v>
      </c>
      <c r="D628" s="41"/>
      <c r="E628" s="80"/>
      <c r="F628" s="36"/>
      <c r="G628" s="42"/>
      <c r="H628" s="19"/>
      <c r="I628" s="19"/>
      <c r="J628" s="88"/>
      <c r="K628" s="42"/>
      <c r="L628" s="42"/>
      <c r="M628" s="42"/>
      <c r="N628" s="42"/>
      <c r="O628" s="42"/>
      <c r="P628" s="42"/>
      <c r="Q628" s="42"/>
      <c r="R628" s="38" t="e">
        <f>VLOOKUP((D629),'Pwr Factor'!$A$1:$B$52,2)</f>
        <v>#N/A</v>
      </c>
      <c r="S628" s="50">
        <v>1</v>
      </c>
      <c r="T628" s="42"/>
      <c r="U628" s="42"/>
      <c r="V628" s="41"/>
      <c r="W628" s="42"/>
      <c r="X628" s="42"/>
      <c r="Y628" s="42"/>
      <c r="Z628" s="42"/>
      <c r="AA628" s="42"/>
      <c r="AB628" s="19"/>
      <c r="AC628" s="94"/>
    </row>
    <row r="629" spans="1:29" x14ac:dyDescent="0.2">
      <c r="A629" s="1" t="s">
        <v>148</v>
      </c>
      <c r="B629" s="103">
        <f>IF(AND('AES Indiana Bill Calc.'!$D$17="PL",'AES Indiana Bill Calc.'!$D$18="Yes 100%",'AES Indiana Bill Calc.'!$D$20="Yes 2022"),'AES Indiana Bill Calc.'!$D$19,-1)</f>
        <v>-1</v>
      </c>
      <c r="C629" s="103">
        <f>MAX(E629,$C$562)</f>
        <v>500</v>
      </c>
      <c r="D629" s="103" t="b">
        <f>IF(AND('AES Indiana Bill Calc.'!$D$17="PL",'AES Indiana Bill Calc.'!$D$18="Yes 100%",'AES Indiana Bill Calc.'!$D$20="Yes 2022"),'AES Indiana Bill Calc.'!$D$22)</f>
        <v>0</v>
      </c>
      <c r="E629" s="103" t="b">
        <f>IF(AND('AES Indiana Bill Calc.'!$D$17="PL",'AES Indiana Bill Calc.'!$D$18="Yes 100%",'AES Indiana Bill Calc.'!$D$20="Yes 2022"),'AES Indiana Bill Calc.'!$D$21)</f>
        <v>0</v>
      </c>
      <c r="F629" s="36" t="s">
        <v>218</v>
      </c>
      <c r="G629" s="42" t="e">
        <f>SUM(J629:M629,R629:AA629)</f>
        <v>#N/A</v>
      </c>
      <c r="H629" s="19" t="e">
        <f>IF(ISBLANK(B629),0,+#REF!/B629)</f>
        <v>#REF!</v>
      </c>
      <c r="I629" s="19"/>
      <c r="J629" s="88">
        <f>IF(ISBLANK(B629),0,+J$564)</f>
        <v>130</v>
      </c>
      <c r="K629" s="42">
        <f>ROUND($B629*K$564,2)</f>
        <v>-0.04</v>
      </c>
      <c r="L629" s="92">
        <f>IF($C629&gt;L$565,ROUND(L$565*L$564,2),ROUND($C629*L$564,2))</f>
        <v>14150</v>
      </c>
      <c r="M629" s="92">
        <f>IF($C629&gt;L$565,ROUND(($C629-L$565)*M$564,2),0)</f>
        <v>0</v>
      </c>
      <c r="N629" s="92">
        <f>K629</f>
        <v>-0.04</v>
      </c>
      <c r="O629" s="42"/>
      <c r="P629" s="42"/>
      <c r="Q629" s="92">
        <f>SUM(L629:M629)</f>
        <v>14150</v>
      </c>
      <c r="R629" s="82" t="e">
        <f>ROUND(SUM(K629:M629)*(R628-1),2)</f>
        <v>#N/A</v>
      </c>
      <c r="S629" s="42">
        <f>ROUND($B629*S$564*S628,2)</f>
        <v>0</v>
      </c>
      <c r="T629" s="42">
        <f>ROUND($B629*T$564,2)</f>
        <v>0</v>
      </c>
      <c r="U629" s="42">
        <f>ROUND($B629*U$564,2)</f>
        <v>0</v>
      </c>
      <c r="V629" s="41">
        <f>ROUND($B629*V$561,2)</f>
        <v>0</v>
      </c>
      <c r="W629" s="42">
        <f>ROUND($B629*W$564,2)</f>
        <v>0</v>
      </c>
      <c r="X629" s="42">
        <f>ROUND($B629*X$564,2)</f>
        <v>0</v>
      </c>
      <c r="Y629" s="42">
        <f>ROUND($B629*Y$564,2)</f>
        <v>0</v>
      </c>
      <c r="Z629" s="42">
        <f>ROUND($B629*Z$564,2)</f>
        <v>0</v>
      </c>
      <c r="AA629" s="42">
        <f>ROUND($B629*AA$564,2)</f>
        <v>0</v>
      </c>
      <c r="AB629" s="19">
        <f>SUM(U$564:AA$564)+(-V$564+V574)</f>
        <v>2.3699999999999997E-3</v>
      </c>
      <c r="AC629" s="94" t="str">
        <f>+F629</f>
        <v>PL2</v>
      </c>
    </row>
    <row r="630" spans="1:29" x14ac:dyDescent="0.2">
      <c r="A630" s="9"/>
      <c r="B630" s="97">
        <v>-1</v>
      </c>
      <c r="D630" s="41"/>
      <c r="E630" s="80"/>
      <c r="F630" s="36"/>
      <c r="G630" s="42"/>
      <c r="H630" s="19"/>
      <c r="I630" s="19"/>
      <c r="J630" s="88"/>
      <c r="K630" s="42"/>
      <c r="L630" s="42"/>
      <c r="M630" s="42"/>
      <c r="N630" s="42"/>
      <c r="O630" s="42"/>
      <c r="P630" s="42"/>
      <c r="Q630" s="42"/>
      <c r="R630" s="38" t="e">
        <f>VLOOKUP((D631),'Pwr Factor'!$A$1:$B$52,2)</f>
        <v>#N/A</v>
      </c>
      <c r="S630" s="50">
        <v>0.5</v>
      </c>
      <c r="T630" s="42"/>
      <c r="U630" s="42"/>
      <c r="V630" s="41"/>
      <c r="W630" s="42"/>
      <c r="X630" s="42"/>
      <c r="Y630" s="42"/>
      <c r="Z630" s="42"/>
      <c r="AA630" s="42"/>
      <c r="AB630" s="19"/>
      <c r="AC630" s="94"/>
    </row>
    <row r="631" spans="1:29" x14ac:dyDescent="0.2">
      <c r="A631" s="1" t="s">
        <v>149</v>
      </c>
      <c r="B631" s="103">
        <f>IF(AND('AES Indiana Bill Calc.'!$D$17="PL",'AES Indiana Bill Calc.'!$D$18="Yes 50%",'AES Indiana Bill Calc.'!$D$20="Yes 2022"),'AES Indiana Bill Calc.'!$D$19,-1)</f>
        <v>-1</v>
      </c>
      <c r="C631" s="103">
        <f>MAX(E631,$C$562)</f>
        <v>500</v>
      </c>
      <c r="D631" s="103" t="b">
        <f>IF(AND('AES Indiana Bill Calc.'!$D$17="PL",'AES Indiana Bill Calc.'!$D$18="Yes 50%",'AES Indiana Bill Calc.'!$D$20="Yes 2022"),'AES Indiana Bill Calc.'!$D$22)</f>
        <v>0</v>
      </c>
      <c r="E631" s="103" t="b">
        <f>IF(AND('AES Indiana Bill Calc.'!$D$17="PL",'AES Indiana Bill Calc.'!$D$18="Yes 50%",'AES Indiana Bill Calc.'!$D$20="Yes 2022"),'AES Indiana Bill Calc.'!$D$21)</f>
        <v>0</v>
      </c>
      <c r="F631" s="36" t="s">
        <v>218</v>
      </c>
      <c r="G631" s="42" t="e">
        <f>SUM(J631:M631,R631:AA631)</f>
        <v>#N/A</v>
      </c>
      <c r="H631" s="19" t="e">
        <f>IF(ISBLANK(B631),0,+#REF!/B631)</f>
        <v>#REF!</v>
      </c>
      <c r="I631" s="19"/>
      <c r="J631" s="88">
        <f>IF(ISBLANK(B631),0,+J$564)</f>
        <v>130</v>
      </c>
      <c r="K631" s="42">
        <f>ROUND($B631*K$564,2)</f>
        <v>-0.04</v>
      </c>
      <c r="L631" s="92">
        <f>IF($C631&gt;L$565,ROUND(L$565*L$564,2),ROUND($C631*L$564,2))</f>
        <v>14150</v>
      </c>
      <c r="M631" s="92">
        <f>IF($C631&gt;L$565,ROUND(($C631-L$565)*M$564,2),0)</f>
        <v>0</v>
      </c>
      <c r="N631" s="92">
        <f>K631</f>
        <v>-0.04</v>
      </c>
      <c r="O631" s="42"/>
      <c r="P631" s="42"/>
      <c r="Q631" s="92">
        <f>SUM(L631:M631)</f>
        <v>14150</v>
      </c>
      <c r="R631" s="82" t="e">
        <f>ROUND(SUM(K631:M631)*(R630-1),2)</f>
        <v>#N/A</v>
      </c>
      <c r="S631" s="42">
        <f>ROUND($B631*S$564*S630,2)</f>
        <v>0</v>
      </c>
      <c r="T631" s="42">
        <f>ROUND($B631*T$564,2)</f>
        <v>0</v>
      </c>
      <c r="U631" s="42">
        <f>ROUND($B631*U$564,2)</f>
        <v>0</v>
      </c>
      <c r="V631" s="41">
        <f>ROUND($B631*V$561,2)</f>
        <v>0</v>
      </c>
      <c r="W631" s="42">
        <f>ROUND($B631*W$564,2)</f>
        <v>0</v>
      </c>
      <c r="X631" s="42">
        <f>ROUND($B631*X$564,2)</f>
        <v>0</v>
      </c>
      <c r="Y631" s="42">
        <f>ROUND($B631*Y$564,2)</f>
        <v>0</v>
      </c>
      <c r="Z631" s="42">
        <f>ROUND($B631*Z$564,2)</f>
        <v>0</v>
      </c>
      <c r="AA631" s="42">
        <f>ROUND($B631*AA$564,2)</f>
        <v>0</v>
      </c>
      <c r="AB631" s="19">
        <f>SUM(U$564:AA$564)+(-V$564+V576)</f>
        <v>2.3699999999999997E-3</v>
      </c>
      <c r="AC631" s="94" t="str">
        <f>+F631</f>
        <v>PL2</v>
      </c>
    </row>
    <row r="632" spans="1:29" x14ac:dyDescent="0.2">
      <c r="A632" s="9"/>
      <c r="B632" s="97">
        <v>-1</v>
      </c>
      <c r="D632" s="41"/>
      <c r="E632" s="80"/>
      <c r="F632" s="36"/>
      <c r="G632" s="42"/>
      <c r="H632" s="19"/>
      <c r="I632" s="19"/>
      <c r="J632" s="88"/>
      <c r="K632" s="42"/>
      <c r="L632" s="42"/>
      <c r="M632" s="42"/>
      <c r="N632" s="42"/>
      <c r="O632" s="42"/>
      <c r="P632" s="42"/>
      <c r="Q632" s="42"/>
      <c r="R632" s="38" t="e">
        <f>VLOOKUP((D633),'Pwr Factor'!$A$1:$B$52,2)</f>
        <v>#N/A</v>
      </c>
      <c r="S632" s="50">
        <v>0.25</v>
      </c>
      <c r="T632" s="42"/>
      <c r="U632" s="42"/>
      <c r="V632" s="41"/>
      <c r="W632" s="42"/>
      <c r="X632" s="42"/>
      <c r="Y632" s="42"/>
      <c r="Z632" s="42"/>
      <c r="AA632" s="42"/>
      <c r="AB632" s="19"/>
      <c r="AC632" s="94"/>
    </row>
    <row r="633" spans="1:29" x14ac:dyDescent="0.2">
      <c r="A633" s="1" t="s">
        <v>150</v>
      </c>
      <c r="B633" s="103">
        <f>IF(AND('AES Indiana Bill Calc.'!$D$17="PL",'AES Indiana Bill Calc.'!$D$18="Yes 25%",'AES Indiana Bill Calc.'!$D$20="Yes 2022"),'AES Indiana Bill Calc.'!$D$19,-1)</f>
        <v>-1</v>
      </c>
      <c r="C633" s="103">
        <f>MAX(E633,$C$562)</f>
        <v>500</v>
      </c>
      <c r="D633" s="103" t="b">
        <f>IF(AND('AES Indiana Bill Calc.'!$D$17="PL",'AES Indiana Bill Calc.'!$D$18="Yes 25%",'AES Indiana Bill Calc.'!$D$20="Yes 2022"),'AES Indiana Bill Calc.'!$D$22)</f>
        <v>0</v>
      </c>
      <c r="E633" s="103" t="b">
        <f>IF(AND('AES Indiana Bill Calc.'!$D$17="PL",'AES Indiana Bill Calc.'!$D$18="Yes 25%",'AES Indiana Bill Calc.'!$D$20="Yes 2022"),'AES Indiana Bill Calc.'!$D$21)</f>
        <v>0</v>
      </c>
      <c r="F633" s="36" t="s">
        <v>218</v>
      </c>
      <c r="G633" s="42" t="e">
        <f>SUM(J633:M633,R633:AA633)</f>
        <v>#N/A</v>
      </c>
      <c r="H633" s="19" t="e">
        <f>IF(ISBLANK(B633),0,+#REF!/B633)</f>
        <v>#REF!</v>
      </c>
      <c r="I633" s="19"/>
      <c r="J633" s="88">
        <f>IF(ISBLANK(B633),0,+J$564)</f>
        <v>130</v>
      </c>
      <c r="K633" s="42">
        <f>ROUND($B633*K$564,2)</f>
        <v>-0.04</v>
      </c>
      <c r="L633" s="92">
        <f>IF($C633&gt;L$565,ROUND(L$565*L$564,2),ROUND($C633*L$564,2))</f>
        <v>14150</v>
      </c>
      <c r="M633" s="92">
        <f>IF($C633&gt;L$565,ROUND(($C633-L$565)*M$564,2),0)</f>
        <v>0</v>
      </c>
      <c r="N633" s="92">
        <f>K633</f>
        <v>-0.04</v>
      </c>
      <c r="O633" s="42"/>
      <c r="P633" s="42"/>
      <c r="Q633" s="92">
        <f>SUM(L633:M633)</f>
        <v>14150</v>
      </c>
      <c r="R633" s="82" t="e">
        <f>ROUND(SUM(K633:M633)*(R632-1),2)</f>
        <v>#N/A</v>
      </c>
      <c r="S633" s="42">
        <f>ROUND($B633*S$564*S632,2)</f>
        <v>0</v>
      </c>
      <c r="T633" s="42">
        <f>ROUND($B633*T$564,2)</f>
        <v>0</v>
      </c>
      <c r="U633" s="42">
        <f>ROUND($B633*U$564,2)</f>
        <v>0</v>
      </c>
      <c r="V633" s="41">
        <f>ROUND($B633*V$561,2)</f>
        <v>0</v>
      </c>
      <c r="W633" s="42">
        <f>ROUND($B633*W$564,2)</f>
        <v>0</v>
      </c>
      <c r="X633" s="42">
        <f>ROUND($B633*X$564,2)</f>
        <v>0</v>
      </c>
      <c r="Y633" s="42">
        <f>ROUND($B633*Y$564,2)</f>
        <v>0</v>
      </c>
      <c r="Z633" s="42">
        <f>ROUND($B633*Z$564,2)</f>
        <v>0</v>
      </c>
      <c r="AA633" s="42">
        <f>ROUND($B633*AA$564,2)</f>
        <v>0</v>
      </c>
      <c r="AB633" s="19">
        <f>SUM(U$564:AA$564)+(-V$564+V578)</f>
        <v>2.3699999999999997E-3</v>
      </c>
      <c r="AC633" s="94" t="str">
        <f>+F633</f>
        <v>PL2</v>
      </c>
    </row>
    <row r="634" spans="1:29" x14ac:dyDescent="0.2">
      <c r="A634" s="9"/>
      <c r="B634" s="97">
        <v>-1</v>
      </c>
      <c r="D634" s="41"/>
      <c r="E634" s="80"/>
      <c r="F634" s="36"/>
      <c r="G634" s="42"/>
      <c r="H634" s="19"/>
      <c r="I634" s="19"/>
      <c r="J634" s="88"/>
      <c r="K634" s="42"/>
      <c r="L634" s="42"/>
      <c r="M634" s="42"/>
      <c r="N634" s="42"/>
      <c r="O634" s="42"/>
      <c r="P634" s="42"/>
      <c r="Q634" s="42"/>
      <c r="R634" s="38" t="e">
        <f>VLOOKUP((D635),'Pwr Factor'!$A$1:$B$52,2)</f>
        <v>#N/A</v>
      </c>
      <c r="S634" s="50">
        <v>0.1</v>
      </c>
      <c r="T634" s="42"/>
      <c r="U634" s="42"/>
      <c r="V634" s="41"/>
      <c r="W634" s="42"/>
      <c r="X634" s="42"/>
      <c r="Y634" s="42"/>
      <c r="Z634" s="42"/>
      <c r="AA634" s="42"/>
      <c r="AB634" s="19"/>
      <c r="AC634" s="94"/>
    </row>
    <row r="635" spans="1:29" x14ac:dyDescent="0.2">
      <c r="A635" s="1" t="s">
        <v>164</v>
      </c>
      <c r="B635" s="103">
        <f>IF(AND('AES Indiana Bill Calc.'!$D$17="PL",'AES Indiana Bill Calc.'!$D$18="Yes 10%",'AES Indiana Bill Calc.'!$D$20="Yes 2022"),'AES Indiana Bill Calc.'!$D$19,-1)</f>
        <v>-1</v>
      </c>
      <c r="C635" s="103">
        <f>MAX(E635,$C$562)</f>
        <v>500</v>
      </c>
      <c r="D635" s="103" t="b">
        <f>IF(AND('AES Indiana Bill Calc.'!$D$17="PL",'AES Indiana Bill Calc.'!$D$18="Yes 10%",'AES Indiana Bill Calc.'!$D$20="Yes 2022"),'AES Indiana Bill Calc.'!$D$22)</f>
        <v>0</v>
      </c>
      <c r="E635" s="103" t="b">
        <f>IF(AND('AES Indiana Bill Calc.'!$D$17="PL",'AES Indiana Bill Calc.'!$D$18="Yes 10%",'AES Indiana Bill Calc.'!$D$20="Yes 2022"),'AES Indiana Bill Calc.'!$D$21)</f>
        <v>0</v>
      </c>
      <c r="F635" s="36" t="s">
        <v>218</v>
      </c>
      <c r="G635" s="42" t="e">
        <f>SUM(J635:M635,R635:AA635)</f>
        <v>#N/A</v>
      </c>
      <c r="H635" s="19" t="e">
        <f>IF(ISBLANK(B635),0,+#REF!/B635)</f>
        <v>#REF!</v>
      </c>
      <c r="I635" s="19"/>
      <c r="J635" s="88">
        <f>IF(ISBLANK(B635),0,+J$564)</f>
        <v>130</v>
      </c>
      <c r="K635" s="42">
        <f>ROUND($B635*K$564,2)</f>
        <v>-0.04</v>
      </c>
      <c r="L635" s="92">
        <f>IF($C635&gt;L$565,ROUND(L$565*L$564,2),ROUND($C635*L$564,2))</f>
        <v>14150</v>
      </c>
      <c r="M635" s="92">
        <f>IF($C635&gt;L$565,ROUND(($C635-L$565)*M$564,2),0)</f>
        <v>0</v>
      </c>
      <c r="N635" s="92">
        <f>K635</f>
        <v>-0.04</v>
      </c>
      <c r="O635" s="42"/>
      <c r="P635" s="42"/>
      <c r="Q635" s="92">
        <f>SUM(L635:M635)</f>
        <v>14150</v>
      </c>
      <c r="R635" s="82" t="e">
        <f>ROUND(SUM(K635:M635)*(R634-1),2)</f>
        <v>#N/A</v>
      </c>
      <c r="S635" s="42">
        <f>ROUND($B635*S$564*S634,2)</f>
        <v>0</v>
      </c>
      <c r="T635" s="42">
        <f>ROUND($B635*T$564,2)</f>
        <v>0</v>
      </c>
      <c r="U635" s="42">
        <f>ROUND($B635*U$564,2)</f>
        <v>0</v>
      </c>
      <c r="V635" s="41">
        <f>ROUND($B635*V$561,2)</f>
        <v>0</v>
      </c>
      <c r="W635" s="42">
        <f>ROUND($B635*W$564,2)</f>
        <v>0</v>
      </c>
      <c r="X635" s="42">
        <f>ROUND($B635*X$564,2)</f>
        <v>0</v>
      </c>
      <c r="Y635" s="42">
        <f>ROUND($B635*Y$564,2)</f>
        <v>0</v>
      </c>
      <c r="Z635" s="42">
        <f>ROUND($B635*Z$564,2)</f>
        <v>0</v>
      </c>
      <c r="AA635" s="42">
        <f>ROUND($B635*AA$564,2)</f>
        <v>0</v>
      </c>
      <c r="AB635" s="19">
        <f>SUM(U$564:AA$564)+(-V$564+V580)</f>
        <v>2.3699999999999997E-3</v>
      </c>
      <c r="AC635" s="94" t="str">
        <f>+F635</f>
        <v>PL2</v>
      </c>
    </row>
    <row r="636" spans="1:29" ht="15" customHeight="1" x14ac:dyDescent="0.2">
      <c r="A636" s="9"/>
      <c r="B636" s="97">
        <v>-1</v>
      </c>
      <c r="D636" s="41"/>
      <c r="E636" s="80"/>
      <c r="F636" s="36"/>
      <c r="G636" s="42"/>
      <c r="H636" s="19"/>
      <c r="I636" s="19"/>
      <c r="J636" s="88"/>
      <c r="K636" s="42"/>
      <c r="L636" s="42"/>
      <c r="M636" s="42"/>
      <c r="N636" s="42"/>
      <c r="O636" s="42"/>
      <c r="P636" s="42"/>
      <c r="Q636" s="42"/>
      <c r="R636" s="38" t="e">
        <f>VLOOKUP((D637),'Pwr Factor'!$A$1:$B$52,2)</f>
        <v>#N/A</v>
      </c>
      <c r="S636" s="50">
        <v>0</v>
      </c>
      <c r="T636" s="42"/>
      <c r="U636" s="42"/>
      <c r="V636" s="41"/>
      <c r="W636" s="42"/>
      <c r="X636" s="42"/>
      <c r="Y636" s="42"/>
      <c r="Z636" s="42"/>
      <c r="AA636" s="42"/>
      <c r="AB636" s="19"/>
      <c r="AC636" s="94"/>
    </row>
    <row r="637" spans="1:29" ht="15" customHeight="1" x14ac:dyDescent="0.2">
      <c r="A637" s="1" t="s">
        <v>147</v>
      </c>
      <c r="B637" s="103">
        <f>IF(AND('AES Indiana Bill Calc.'!$D$17="PL",'AES Indiana Bill Calc.'!$D$18="No",'AES Indiana Bill Calc.'!$D$20="Yes 2022"),'AES Indiana Bill Calc.'!$D$19,-1)</f>
        <v>-1</v>
      </c>
      <c r="C637" s="103">
        <f>MAX(E637,$C$562)</f>
        <v>500</v>
      </c>
      <c r="D637" s="103" t="b">
        <f>IF(AND('AES Indiana Bill Calc.'!$D$17="PL",'AES Indiana Bill Calc.'!$D$18="No",'AES Indiana Bill Calc.'!$D$20="Yes 2022"),'AES Indiana Bill Calc.'!$D$22)</f>
        <v>0</v>
      </c>
      <c r="E637" s="103" t="b">
        <f>IF(AND('AES Indiana Bill Calc.'!$D$17="PL",'AES Indiana Bill Calc.'!$D$18="No",'AES Indiana Bill Calc.'!$D$20="Yes 2022"),'AES Indiana Bill Calc.'!$D$21)</f>
        <v>0</v>
      </c>
      <c r="F637" s="36" t="s">
        <v>218</v>
      </c>
      <c r="G637" s="42" t="e">
        <f>SUM(J637:M637,R637:AA637)</f>
        <v>#N/A</v>
      </c>
      <c r="H637" s="19" t="e">
        <f>IF(ISBLANK(B637),0,+#REF!/B637)</f>
        <v>#REF!</v>
      </c>
      <c r="I637" s="19"/>
      <c r="J637" s="88">
        <f>IF(ISBLANK(B637),0,+J$564)</f>
        <v>130</v>
      </c>
      <c r="K637" s="42">
        <f>ROUND($B637*K$564,2)</f>
        <v>-0.04</v>
      </c>
      <c r="L637" s="92">
        <f>IF($C637&gt;L$565,ROUND(L$565*L$564,2),ROUND($C637*L$564,2))</f>
        <v>14150</v>
      </c>
      <c r="M637" s="92">
        <f>IF($C637&gt;L$565,ROUND(($C637-L$565)*M$564,2),0)</f>
        <v>0</v>
      </c>
      <c r="N637" s="92">
        <f>K637</f>
        <v>-0.04</v>
      </c>
      <c r="O637" s="42"/>
      <c r="P637" s="42"/>
      <c r="Q637" s="92">
        <f>SUM(L637:M637)</f>
        <v>14150</v>
      </c>
      <c r="R637" s="82" t="e">
        <f>ROUND(SUM(K637:M637)*(R636-1),2)</f>
        <v>#N/A</v>
      </c>
      <c r="S637" s="42">
        <f>ROUND($B637*S$564*S636,2)</f>
        <v>0</v>
      </c>
      <c r="T637" s="42">
        <f>ROUND($B637*T$564,2)</f>
        <v>0</v>
      </c>
      <c r="U637" s="42">
        <f>ROUND($B637*U$564,2)</f>
        <v>0</v>
      </c>
      <c r="V637" s="41">
        <f>ROUND($B637*V$561,2)</f>
        <v>0</v>
      </c>
      <c r="W637" s="42">
        <f>ROUND($B637*W$564,2)</f>
        <v>0</v>
      </c>
      <c r="X637" s="42">
        <f>ROUND($B637*X$564,2)</f>
        <v>0</v>
      </c>
      <c r="Y637" s="42">
        <f>ROUND($B637*Y$564,2)</f>
        <v>0</v>
      </c>
      <c r="Z637" s="42">
        <f>ROUND($B637*Z$564,2)</f>
        <v>0</v>
      </c>
      <c r="AA637" s="42">
        <f>ROUND($B637*AA$564,2)</f>
        <v>0</v>
      </c>
      <c r="AB637" s="19">
        <f>SUM(U$564:AA$564)+(-V$564+V582)</f>
        <v>2.3699999999999997E-3</v>
      </c>
      <c r="AC637" s="94" t="str">
        <f>+F637</f>
        <v>PL2</v>
      </c>
    </row>
    <row r="638" spans="1:29" ht="15" customHeight="1" x14ac:dyDescent="0.2">
      <c r="B638" s="97">
        <v>-1</v>
      </c>
      <c r="D638" s="41"/>
      <c r="E638" s="80"/>
      <c r="F638" s="36"/>
      <c r="G638" s="42"/>
      <c r="H638" s="19"/>
      <c r="I638" s="19"/>
      <c r="J638" s="88"/>
      <c r="K638" s="42"/>
      <c r="L638" s="42"/>
      <c r="M638" s="42"/>
      <c r="N638" s="42"/>
      <c r="O638" s="42"/>
      <c r="P638" s="42"/>
      <c r="Q638" s="42"/>
      <c r="R638" s="38" t="e">
        <f>VLOOKUP((D639),'Pwr Factor'!$A$1:$B$52,2)</f>
        <v>#N/A</v>
      </c>
      <c r="S638" s="50">
        <v>1</v>
      </c>
      <c r="T638" s="42"/>
      <c r="U638" s="42"/>
      <c r="V638" s="41"/>
      <c r="W638" s="42"/>
      <c r="X638" s="42"/>
      <c r="Y638" s="42"/>
      <c r="Z638" s="42"/>
      <c r="AA638" s="42"/>
      <c r="AB638" s="19"/>
      <c r="AC638" s="94"/>
    </row>
    <row r="639" spans="1:29" x14ac:dyDescent="0.2">
      <c r="A639" s="1" t="s">
        <v>148</v>
      </c>
      <c r="B639" s="103">
        <f>IF(AND('AES Indiana Bill Calc.'!$D$17="PL",'AES Indiana Bill Calc.'!$D$18="Yes 100%",'AES Indiana Bill Calc.'!$D$20="Yes 2023"),'AES Indiana Bill Calc.'!$D$19,-1)</f>
        <v>-1</v>
      </c>
      <c r="C639" s="103">
        <f>MAX(E639,$C$562)</f>
        <v>500</v>
      </c>
      <c r="D639" s="103" t="b">
        <f>IF(AND('AES Indiana Bill Calc.'!$D$17="PL",'AES Indiana Bill Calc.'!$D$18="Yes 100%",'AES Indiana Bill Calc.'!$D$20="Yes 2023"),'AES Indiana Bill Calc.'!$D$22)</f>
        <v>0</v>
      </c>
      <c r="E639" s="103" t="b">
        <f>IF(AND('AES Indiana Bill Calc.'!$D$17="PL",'AES Indiana Bill Calc.'!$D$18="Yes 100%",'AES Indiana Bill Calc.'!$D$20="Yes 2023"),'AES Indiana Bill Calc.'!$D$21)</f>
        <v>0</v>
      </c>
      <c r="F639" s="36" t="s">
        <v>219</v>
      </c>
      <c r="G639" s="42" t="e">
        <f>SUM(J639:M639,R639:AA639)</f>
        <v>#N/A</v>
      </c>
      <c r="H639" s="19" t="e">
        <f>IF(ISBLANK(B639),0,+#REF!/B639)</f>
        <v>#REF!</v>
      </c>
      <c r="I639" s="19"/>
      <c r="J639" s="88">
        <f>IF(ISBLANK(B639),0,+J$564)</f>
        <v>130</v>
      </c>
      <c r="K639" s="42">
        <f>ROUND($B639*K$564,2)</f>
        <v>-0.04</v>
      </c>
      <c r="L639" s="92">
        <f>IF($C639&gt;L$565,ROUND(L$565*L$564,2),ROUND($C639*L$564,2))</f>
        <v>14150</v>
      </c>
      <c r="M639" s="92">
        <f>IF($C639&gt;L$565,ROUND(($C639-L$565)*M$564,2),0)</f>
        <v>0</v>
      </c>
      <c r="N639" s="92">
        <f>K639</f>
        <v>-0.04</v>
      </c>
      <c r="O639" s="42"/>
      <c r="P639" s="42"/>
      <c r="Q639" s="92">
        <f>SUM(L639:M639)</f>
        <v>14150</v>
      </c>
      <c r="R639" s="82" t="e">
        <f>ROUND(SUM(K639:M639)*(R638-1),2)</f>
        <v>#N/A</v>
      </c>
      <c r="S639" s="42">
        <f>ROUND($B639*S$564*S638,2)</f>
        <v>0</v>
      </c>
      <c r="T639" s="42">
        <f>ROUND($B639*T$564,2)</f>
        <v>0</v>
      </c>
      <c r="U639" s="42">
        <f>ROUND($B639*U$564,2)</f>
        <v>0</v>
      </c>
      <c r="V639" s="41">
        <f>ROUND($B639*V$562,2)</f>
        <v>0</v>
      </c>
      <c r="W639" s="42">
        <f>ROUND($B639*W$564,2)</f>
        <v>0</v>
      </c>
      <c r="X639" s="42">
        <f>ROUND($B639*X$564,2)</f>
        <v>0</v>
      </c>
      <c r="Y639" s="42">
        <f>ROUND($B639*Y$564,2)</f>
        <v>0</v>
      </c>
      <c r="Z639" s="42">
        <f>ROUND($B639*Z$564,2)</f>
        <v>0</v>
      </c>
      <c r="AA639" s="42">
        <f>ROUND($B639*AA$564,2)</f>
        <v>0</v>
      </c>
      <c r="AB639" s="19">
        <f>SUM(U$564:AA$564)+(-V$564+V584)</f>
        <v>2.3699999999999997E-3</v>
      </c>
      <c r="AC639" s="94" t="str">
        <f>+F639</f>
        <v>PL3</v>
      </c>
    </row>
    <row r="640" spans="1:29" x14ac:dyDescent="0.2">
      <c r="A640" s="9"/>
      <c r="B640" s="97">
        <v>-1</v>
      </c>
      <c r="D640" s="41"/>
      <c r="E640" s="80"/>
      <c r="F640" s="36"/>
      <c r="G640" s="42"/>
      <c r="H640" s="19"/>
      <c r="I640" s="19"/>
      <c r="J640" s="88"/>
      <c r="K640" s="42"/>
      <c r="L640" s="42"/>
      <c r="M640" s="42"/>
      <c r="N640" s="42"/>
      <c r="O640" s="42"/>
      <c r="P640" s="42"/>
      <c r="Q640" s="42"/>
      <c r="R640" s="38" t="e">
        <f>VLOOKUP((D641),'Pwr Factor'!$A$1:$B$52,2)</f>
        <v>#N/A</v>
      </c>
      <c r="S640" s="50">
        <v>0.5</v>
      </c>
      <c r="T640" s="42"/>
      <c r="U640" s="42"/>
      <c r="V640" s="41"/>
      <c r="W640" s="42"/>
      <c r="X640" s="42"/>
      <c r="Y640" s="42"/>
      <c r="Z640" s="42"/>
      <c r="AA640" s="42"/>
      <c r="AB640" s="19"/>
      <c r="AC640" s="94"/>
    </row>
    <row r="641" spans="1:29" x14ac:dyDescent="0.2">
      <c r="A641" s="1" t="s">
        <v>149</v>
      </c>
      <c r="B641" s="103">
        <f>IF(AND('AES Indiana Bill Calc.'!$D$17="PL",'AES Indiana Bill Calc.'!$D$18="Yes 50%",'AES Indiana Bill Calc.'!$D$20="Yes 2023"),'AES Indiana Bill Calc.'!$D$19,-1)</f>
        <v>-1</v>
      </c>
      <c r="C641" s="103">
        <f>MAX(E641,$C$562)</f>
        <v>500</v>
      </c>
      <c r="D641" s="103" t="b">
        <f>IF(AND('AES Indiana Bill Calc.'!$D$17="PL",'AES Indiana Bill Calc.'!$D$18="Yes 50%",'AES Indiana Bill Calc.'!$D$20="Yes 2023"),'AES Indiana Bill Calc.'!$D$22)</f>
        <v>0</v>
      </c>
      <c r="E641" s="103" t="b">
        <f>IF(AND('AES Indiana Bill Calc.'!$D$17="PL",'AES Indiana Bill Calc.'!$D$18="Yes 50%",'AES Indiana Bill Calc.'!$D$20="Yes 2023"),'AES Indiana Bill Calc.'!$D$21)</f>
        <v>0</v>
      </c>
      <c r="F641" s="36" t="s">
        <v>219</v>
      </c>
      <c r="G641" s="42" t="e">
        <f>SUM(J641:M641,R641:AA641)</f>
        <v>#N/A</v>
      </c>
      <c r="H641" s="19" t="e">
        <f>IF(ISBLANK(B641),0,+#REF!/B641)</f>
        <v>#REF!</v>
      </c>
      <c r="I641" s="19"/>
      <c r="J641" s="88">
        <f>IF(ISBLANK(B641),0,+J$564)</f>
        <v>130</v>
      </c>
      <c r="K641" s="42">
        <f>ROUND($B641*K$564,2)</f>
        <v>-0.04</v>
      </c>
      <c r="L641" s="92">
        <f>IF($C641&gt;L$565,ROUND(L$565*L$564,2),ROUND($C641*L$564,2))</f>
        <v>14150</v>
      </c>
      <c r="M641" s="92">
        <f>IF($C641&gt;L$565,ROUND(($C641-L$565)*M$564,2),0)</f>
        <v>0</v>
      </c>
      <c r="N641" s="92">
        <f>K641</f>
        <v>-0.04</v>
      </c>
      <c r="O641" s="42"/>
      <c r="P641" s="42"/>
      <c r="Q641" s="92">
        <f>SUM(L641:M641)</f>
        <v>14150</v>
      </c>
      <c r="R641" s="82" t="e">
        <f>ROUND(SUM(K641:M641)*(R640-1),2)</f>
        <v>#N/A</v>
      </c>
      <c r="S641" s="42">
        <f>ROUND($B641*S$564*S640,2)</f>
        <v>0</v>
      </c>
      <c r="T641" s="42">
        <f>ROUND($B641*T$564,2)</f>
        <v>0</v>
      </c>
      <c r="U641" s="42">
        <f>ROUND($B641*U$564,2)</f>
        <v>0</v>
      </c>
      <c r="V641" s="41">
        <f>ROUND($B641*V$562,2)</f>
        <v>0</v>
      </c>
      <c r="W641" s="42">
        <f>ROUND($B641*W$564,2)</f>
        <v>0</v>
      </c>
      <c r="X641" s="42">
        <f>ROUND($B641*X$564,2)</f>
        <v>0</v>
      </c>
      <c r="Y641" s="42">
        <f>ROUND($B641*Y$564,2)</f>
        <v>0</v>
      </c>
      <c r="Z641" s="42">
        <f>ROUND($B641*Z$564,2)</f>
        <v>0</v>
      </c>
      <c r="AA641" s="42">
        <f>ROUND($B641*AA$564,2)</f>
        <v>0</v>
      </c>
      <c r="AB641" s="19">
        <f>SUM(U$564:AA$564)+(-V$564+V586)</f>
        <v>2.3699999999999997E-3</v>
      </c>
      <c r="AC641" s="94" t="str">
        <f>+F641</f>
        <v>PL3</v>
      </c>
    </row>
    <row r="642" spans="1:29" x14ac:dyDescent="0.2">
      <c r="A642" s="9"/>
      <c r="B642" s="97">
        <v>-1</v>
      </c>
      <c r="D642" s="41"/>
      <c r="E642" s="80"/>
      <c r="F642" s="36"/>
      <c r="G642" s="42"/>
      <c r="H642" s="19"/>
      <c r="I642" s="19"/>
      <c r="J642" s="88"/>
      <c r="K642" s="42"/>
      <c r="L642" s="42"/>
      <c r="M642" s="42"/>
      <c r="N642" s="42"/>
      <c r="O642" s="42"/>
      <c r="P642" s="42"/>
      <c r="Q642" s="42"/>
      <c r="R642" s="38" t="e">
        <f>VLOOKUP((D643),'Pwr Factor'!$A$1:$B$52,2)</f>
        <v>#N/A</v>
      </c>
      <c r="S642" s="50">
        <v>0.25</v>
      </c>
      <c r="T642" s="42"/>
      <c r="U642" s="42"/>
      <c r="V642" s="41"/>
      <c r="W642" s="42"/>
      <c r="X642" s="42"/>
      <c r="Y642" s="42"/>
      <c r="Z642" s="42"/>
      <c r="AA642" s="42"/>
      <c r="AB642" s="19"/>
      <c r="AC642" s="94"/>
    </row>
    <row r="643" spans="1:29" x14ac:dyDescent="0.2">
      <c r="A643" s="1" t="s">
        <v>150</v>
      </c>
      <c r="B643" s="103">
        <f>IF(AND('AES Indiana Bill Calc.'!$D$17="PL",'AES Indiana Bill Calc.'!$D$18="Yes 25%",'AES Indiana Bill Calc.'!$D$20="Yes 2023"),'AES Indiana Bill Calc.'!$D$19,-1)</f>
        <v>-1</v>
      </c>
      <c r="C643" s="103">
        <f>MAX(E643,$C$562)</f>
        <v>500</v>
      </c>
      <c r="D643" s="103" t="b">
        <f>IF(AND('AES Indiana Bill Calc.'!$D$17="PL",'AES Indiana Bill Calc.'!$D$18="Yes 25%",'AES Indiana Bill Calc.'!$D$20="Yes 2023"),'AES Indiana Bill Calc.'!$D$22)</f>
        <v>0</v>
      </c>
      <c r="E643" s="103" t="b">
        <f>IF(AND('AES Indiana Bill Calc.'!$D$17="PL",'AES Indiana Bill Calc.'!$D$18="Yes 25%",'AES Indiana Bill Calc.'!$D$20="Yes 2023"),'AES Indiana Bill Calc.'!$D$21)</f>
        <v>0</v>
      </c>
      <c r="F643" s="36" t="s">
        <v>219</v>
      </c>
      <c r="G643" s="42" t="e">
        <f>SUM(J643:M643,R643:AA643)</f>
        <v>#N/A</v>
      </c>
      <c r="H643" s="19" t="e">
        <f>IF(ISBLANK(B643),0,+#REF!/B643)</f>
        <v>#REF!</v>
      </c>
      <c r="I643" s="19"/>
      <c r="J643" s="88">
        <f>IF(ISBLANK(B643),0,+J$564)</f>
        <v>130</v>
      </c>
      <c r="K643" s="42">
        <f>ROUND($B643*K$564,2)</f>
        <v>-0.04</v>
      </c>
      <c r="L643" s="92">
        <f>IF($C643&gt;L$565,ROUND(L$565*L$564,2),ROUND($C643*L$564,2))</f>
        <v>14150</v>
      </c>
      <c r="M643" s="92">
        <f>IF($C643&gt;L$565,ROUND(($C643-L$565)*M$564,2),0)</f>
        <v>0</v>
      </c>
      <c r="N643" s="92">
        <f>K643</f>
        <v>-0.04</v>
      </c>
      <c r="O643" s="42"/>
      <c r="P643" s="42"/>
      <c r="Q643" s="92">
        <f>SUM(L643:M643)</f>
        <v>14150</v>
      </c>
      <c r="R643" s="82" t="e">
        <f>ROUND(SUM(K643:M643)*(R642-1),2)</f>
        <v>#N/A</v>
      </c>
      <c r="S643" s="42">
        <f>ROUND($B643*S$564*S642,2)</f>
        <v>0</v>
      </c>
      <c r="T643" s="42">
        <f>ROUND($B643*T$564,2)</f>
        <v>0</v>
      </c>
      <c r="U643" s="42">
        <f>ROUND($B643*U$564,2)</f>
        <v>0</v>
      </c>
      <c r="V643" s="41">
        <f>ROUND($B643*V$562,2)</f>
        <v>0</v>
      </c>
      <c r="W643" s="42">
        <f>ROUND($B643*W$564,2)</f>
        <v>0</v>
      </c>
      <c r="X643" s="42">
        <f>ROUND($B643*X$564,2)</f>
        <v>0</v>
      </c>
      <c r="Y643" s="42">
        <f>ROUND($B643*Y$564,2)</f>
        <v>0</v>
      </c>
      <c r="Z643" s="42">
        <f>ROUND($B643*Z$564,2)</f>
        <v>0</v>
      </c>
      <c r="AA643" s="42">
        <f>ROUND($B643*AA$564,2)</f>
        <v>0</v>
      </c>
      <c r="AB643" s="19">
        <f>SUM(U$564:AA$564)+(-V$564+V588)</f>
        <v>2.3699999999999997E-3</v>
      </c>
      <c r="AC643" s="94" t="str">
        <f>+F643</f>
        <v>PL3</v>
      </c>
    </row>
    <row r="644" spans="1:29" x14ac:dyDescent="0.2">
      <c r="A644" s="9"/>
      <c r="B644" s="97">
        <v>-1</v>
      </c>
      <c r="D644" s="41"/>
      <c r="E644" s="80"/>
      <c r="F644" s="36"/>
      <c r="G644" s="42"/>
      <c r="H644" s="19"/>
      <c r="I644" s="19"/>
      <c r="J644" s="88"/>
      <c r="K644" s="42"/>
      <c r="L644" s="42"/>
      <c r="M644" s="42"/>
      <c r="N644" s="42"/>
      <c r="O644" s="42"/>
      <c r="P644" s="42"/>
      <c r="Q644" s="42"/>
      <c r="R644" s="38" t="e">
        <f>VLOOKUP((D645),'Pwr Factor'!$A$1:$B$52,2)</f>
        <v>#N/A</v>
      </c>
      <c r="S644" s="50">
        <v>0.1</v>
      </c>
      <c r="T644" s="42"/>
      <c r="U644" s="42"/>
      <c r="V644" s="41"/>
      <c r="W644" s="42"/>
      <c r="X644" s="42"/>
      <c r="Y644" s="42"/>
      <c r="Z644" s="42"/>
      <c r="AA644" s="42"/>
      <c r="AB644" s="19"/>
      <c r="AC644" s="94"/>
    </row>
    <row r="645" spans="1:29" x14ac:dyDescent="0.2">
      <c r="A645" s="1" t="s">
        <v>164</v>
      </c>
      <c r="B645" s="103">
        <f>IF(AND('AES Indiana Bill Calc.'!$D$17="PL",'AES Indiana Bill Calc.'!$D$18="Yes 10%",'AES Indiana Bill Calc.'!$D$20="Yes 2023"),'AES Indiana Bill Calc.'!$D$19,-1)</f>
        <v>-1</v>
      </c>
      <c r="C645" s="103">
        <f>MAX(E645,$C$562)</f>
        <v>500</v>
      </c>
      <c r="D645" s="103" t="b">
        <f>IF(AND('AES Indiana Bill Calc.'!$D$17="PL",'AES Indiana Bill Calc.'!$D$18="Yes 10%",'AES Indiana Bill Calc.'!$D$20="Yes 2023"),'AES Indiana Bill Calc.'!$D$22)</f>
        <v>0</v>
      </c>
      <c r="E645" s="103" t="b">
        <f>IF(AND('AES Indiana Bill Calc.'!$D$17="PL",'AES Indiana Bill Calc.'!$D$18="Yes 10%",'AES Indiana Bill Calc.'!$D$20="Yes 2023"),'AES Indiana Bill Calc.'!$D$21)</f>
        <v>0</v>
      </c>
      <c r="F645" s="36" t="s">
        <v>219</v>
      </c>
      <c r="G645" s="42" t="e">
        <f>SUM(J645:M645,R645:AA645)</f>
        <v>#N/A</v>
      </c>
      <c r="H645" s="19" t="e">
        <f>IF(ISBLANK(B645),0,+#REF!/B645)</f>
        <v>#REF!</v>
      </c>
      <c r="I645" s="19"/>
      <c r="J645" s="88">
        <f>IF(ISBLANK(B645),0,+J$564)</f>
        <v>130</v>
      </c>
      <c r="K645" s="42">
        <f>ROUND($B645*K$564,2)</f>
        <v>-0.04</v>
      </c>
      <c r="L645" s="92">
        <f>IF($C645&gt;L$565,ROUND(L$565*L$564,2),ROUND($C645*L$564,2))</f>
        <v>14150</v>
      </c>
      <c r="M645" s="92">
        <f>IF($C645&gt;L$565,ROUND(($C645-L$565)*M$564,2),0)</f>
        <v>0</v>
      </c>
      <c r="N645" s="92">
        <f>K645</f>
        <v>-0.04</v>
      </c>
      <c r="O645" s="42"/>
      <c r="P645" s="42"/>
      <c r="Q645" s="92">
        <f>SUM(L645:M645)</f>
        <v>14150</v>
      </c>
      <c r="R645" s="82" t="e">
        <f>ROUND(SUM(K645:M645)*(R644-1),2)</f>
        <v>#N/A</v>
      </c>
      <c r="S645" s="42">
        <f>ROUND($B645*S$564*S644,2)</f>
        <v>0</v>
      </c>
      <c r="T645" s="42">
        <f>ROUND($B645*T$564,2)</f>
        <v>0</v>
      </c>
      <c r="U645" s="42">
        <f>ROUND($B645*U$564,2)</f>
        <v>0</v>
      </c>
      <c r="V645" s="41">
        <f>ROUND($B645*V$562,2)</f>
        <v>0</v>
      </c>
      <c r="W645" s="42">
        <f>ROUND($B645*W$564,2)</f>
        <v>0</v>
      </c>
      <c r="X645" s="42">
        <f>ROUND($B645*X$564,2)</f>
        <v>0</v>
      </c>
      <c r="Y645" s="42">
        <f>ROUND($B645*Y$564,2)</f>
        <v>0</v>
      </c>
      <c r="Z645" s="42">
        <f>ROUND($B645*Z$564,2)</f>
        <v>0</v>
      </c>
      <c r="AA645" s="42">
        <f>ROUND($B645*AA$564,2)</f>
        <v>0</v>
      </c>
      <c r="AB645" s="19">
        <f>SUM(U$564:AA$564)+(-V$564+V590)</f>
        <v>2.3699999999999997E-3</v>
      </c>
      <c r="AC645" s="94" t="str">
        <f>+F645</f>
        <v>PL3</v>
      </c>
    </row>
    <row r="646" spans="1:29" x14ac:dyDescent="0.2">
      <c r="A646" s="9"/>
      <c r="B646" s="97">
        <v>-1</v>
      </c>
      <c r="D646" s="41"/>
      <c r="E646" s="80"/>
      <c r="F646" s="36"/>
      <c r="G646" s="42"/>
      <c r="H646" s="19"/>
      <c r="I646" s="19"/>
      <c r="J646" s="88"/>
      <c r="K646" s="42"/>
      <c r="L646" s="42"/>
      <c r="M646" s="42"/>
      <c r="N646" s="42"/>
      <c r="O646" s="42"/>
      <c r="P646" s="42"/>
      <c r="Q646" s="42"/>
      <c r="R646" s="38" t="e">
        <f>VLOOKUP((D647),'Pwr Factor'!$A$1:$B$52,2)</f>
        <v>#N/A</v>
      </c>
      <c r="S646" s="50">
        <v>0</v>
      </c>
      <c r="T646" s="42"/>
      <c r="U646" s="42"/>
      <c r="V646" s="41"/>
      <c r="W646" s="42"/>
      <c r="X646" s="42"/>
      <c r="Y646" s="42"/>
      <c r="Z646" s="42"/>
      <c r="AA646" s="42"/>
      <c r="AB646" s="19"/>
      <c r="AC646" s="94"/>
    </row>
    <row r="647" spans="1:29" x14ac:dyDescent="0.2">
      <c r="A647" s="1" t="s">
        <v>147</v>
      </c>
      <c r="B647" s="103">
        <f>IF(AND('AES Indiana Bill Calc.'!$D$17="PL",'AES Indiana Bill Calc.'!$D$18="No",'AES Indiana Bill Calc.'!$D$20="Yes 2023"),'AES Indiana Bill Calc.'!$D$19,-1)</f>
        <v>-1</v>
      </c>
      <c r="C647" s="103">
        <f>MAX(E647,$C$562)</f>
        <v>500</v>
      </c>
      <c r="D647" s="103" t="b">
        <f>IF(AND('AES Indiana Bill Calc.'!$D$17="PL",'AES Indiana Bill Calc.'!$D$18="No",'AES Indiana Bill Calc.'!$D$20="Yes 2023"),'AES Indiana Bill Calc.'!$D$22)</f>
        <v>0</v>
      </c>
      <c r="E647" s="103" t="b">
        <f>IF(AND('AES Indiana Bill Calc.'!$D$17="PL",'AES Indiana Bill Calc.'!$D$18="No",'AES Indiana Bill Calc.'!$D$20="Yes 2023"),'AES Indiana Bill Calc.'!$D$21)</f>
        <v>0</v>
      </c>
      <c r="F647" s="36" t="s">
        <v>219</v>
      </c>
      <c r="G647" s="42" t="e">
        <f>SUM(J647:M647,R647:AA647)</f>
        <v>#N/A</v>
      </c>
      <c r="H647" s="19" t="e">
        <f>IF(ISBLANK(B647),0,+#REF!/B647)</f>
        <v>#REF!</v>
      </c>
      <c r="I647" s="19"/>
      <c r="J647" s="88">
        <f>IF(ISBLANK(B647),0,+J$564)</f>
        <v>130</v>
      </c>
      <c r="K647" s="42">
        <f>ROUND($B647*K$564,2)</f>
        <v>-0.04</v>
      </c>
      <c r="L647" s="92">
        <f>IF($C647&gt;L$565,ROUND(L$565*L$564,2),ROUND($C647*L$564,2))</f>
        <v>14150</v>
      </c>
      <c r="M647" s="92">
        <f>IF($C647&gt;L$565,ROUND(($C647-L$565)*M$564,2),0)</f>
        <v>0</v>
      </c>
      <c r="N647" s="92">
        <f>K647</f>
        <v>-0.04</v>
      </c>
      <c r="O647" s="42"/>
      <c r="P647" s="42"/>
      <c r="Q647" s="92">
        <f>SUM(L647:M647)</f>
        <v>14150</v>
      </c>
      <c r="R647" s="82" t="e">
        <f>ROUND(SUM(K647:M647)*(R646-1),2)</f>
        <v>#N/A</v>
      </c>
      <c r="S647" s="42">
        <f>ROUND($B647*S$564*S646,2)</f>
        <v>0</v>
      </c>
      <c r="T647" s="42">
        <f>ROUND($B647*T$564,2)</f>
        <v>0</v>
      </c>
      <c r="U647" s="42">
        <f>ROUND($B647*U$564,2)</f>
        <v>0</v>
      </c>
      <c r="V647" s="41">
        <f>ROUND($B647*V$562,2)</f>
        <v>0</v>
      </c>
      <c r="W647" s="42">
        <f>ROUND($B647*W$564,2)</f>
        <v>0</v>
      </c>
      <c r="X647" s="42">
        <f>ROUND($B647*X$564,2)</f>
        <v>0</v>
      </c>
      <c r="Y647" s="42">
        <f>ROUND($B647*Y$564,2)</f>
        <v>0</v>
      </c>
      <c r="Z647" s="42">
        <f>ROUND($B647*Z$564,2)</f>
        <v>0</v>
      </c>
      <c r="AA647" s="42">
        <f>ROUND($B647*AA$564,2)</f>
        <v>0</v>
      </c>
      <c r="AB647" s="19">
        <f>SUM(U$564:AA$564)+(-V$564+V592)</f>
        <v>2.3699999999999997E-3</v>
      </c>
      <c r="AC647" s="94" t="str">
        <f>+F647</f>
        <v>PL3</v>
      </c>
    </row>
    <row r="648" spans="1:29" ht="15" customHeight="1" x14ac:dyDescent="0.2">
      <c r="B648" s="97">
        <v>-1</v>
      </c>
      <c r="D648" s="41"/>
      <c r="E648" s="80"/>
      <c r="F648" s="36"/>
      <c r="G648" s="42"/>
      <c r="H648" s="19"/>
      <c r="I648" s="19"/>
      <c r="J648" s="88"/>
      <c r="K648" s="42"/>
      <c r="L648" s="42"/>
      <c r="M648" s="42"/>
      <c r="N648" s="42"/>
      <c r="O648" s="42"/>
      <c r="P648" s="42"/>
      <c r="Q648" s="42"/>
      <c r="R648" s="38" t="e">
        <f>VLOOKUP((D649),'Pwr Factor'!$A$1:$B$52,2)</f>
        <v>#N/A</v>
      </c>
      <c r="S648" s="50">
        <v>1</v>
      </c>
      <c r="T648" s="42"/>
      <c r="U648" s="42"/>
      <c r="V648" s="41"/>
      <c r="W648" s="42"/>
      <c r="X648" s="42"/>
      <c r="Y648" s="42"/>
      <c r="Z648" s="42"/>
      <c r="AA648" s="42"/>
      <c r="AB648" s="19"/>
      <c r="AC648" s="94"/>
    </row>
    <row r="649" spans="1:29" x14ac:dyDescent="0.2">
      <c r="A649" s="1" t="s">
        <v>148</v>
      </c>
      <c r="B649" s="103">
        <f>IF(AND('AES Indiana Bill Calc.'!$D$17="PL",'AES Indiana Bill Calc.'!$D$18="Yes 100%",'AES Indiana Bill Calc.'!$D$20="Yes 2024"),'AES Indiana Bill Calc.'!$D$19,-1)</f>
        <v>-1</v>
      </c>
      <c r="C649" s="103">
        <f>MAX(E649,$C$562)</f>
        <v>500</v>
      </c>
      <c r="D649" s="103" t="b">
        <f>IF(AND('AES Indiana Bill Calc.'!$D$17="PL",'AES Indiana Bill Calc.'!$D$18="Yes 100%",'AES Indiana Bill Calc.'!$D$20="Yes 2024"),'AES Indiana Bill Calc.'!$D$22)</f>
        <v>0</v>
      </c>
      <c r="E649" s="103" t="b">
        <f>IF(AND('AES Indiana Bill Calc.'!$D$17="PL",'AES Indiana Bill Calc.'!$D$18="Yes 100%",'AES Indiana Bill Calc.'!$D$20="Yes 2024"),'AES Indiana Bill Calc.'!$D$21)</f>
        <v>0</v>
      </c>
      <c r="F649" s="36" t="s">
        <v>305</v>
      </c>
      <c r="G649" s="42" t="e">
        <f>SUM(J649:M649,R649:AA649)</f>
        <v>#N/A</v>
      </c>
      <c r="H649" s="19" t="e">
        <f>IF(ISBLANK(B649),0,+#REF!/B649)</f>
        <v>#REF!</v>
      </c>
      <c r="I649" s="19"/>
      <c r="J649" s="88">
        <f>IF(ISBLANK(B649),0,+J$564)</f>
        <v>130</v>
      </c>
      <c r="K649" s="42">
        <f>ROUND($B649*K$564,2)</f>
        <v>-0.04</v>
      </c>
      <c r="L649" s="92">
        <f>IF($C649&gt;L$565,ROUND(L$565*L$564,2),ROUND($C649*L$564,2))</f>
        <v>14150</v>
      </c>
      <c r="M649" s="92">
        <f>IF($C649&gt;L$565,ROUND(($C649-L$565)*M$564,2),0)</f>
        <v>0</v>
      </c>
      <c r="N649" s="92">
        <f>K649</f>
        <v>-0.04</v>
      </c>
      <c r="O649" s="42"/>
      <c r="P649" s="42"/>
      <c r="Q649" s="92">
        <f>SUM(L649:M649)</f>
        <v>14150</v>
      </c>
      <c r="R649" s="82" t="e">
        <f>ROUND(SUM(K649:M649)*(R648-1),2)</f>
        <v>#N/A</v>
      </c>
      <c r="S649" s="42">
        <f>ROUND($B649*S$564*S648,2)</f>
        <v>0</v>
      </c>
      <c r="T649" s="42">
        <f>ROUND($B649*T$564,2)</f>
        <v>0</v>
      </c>
      <c r="U649" s="42">
        <f>ROUND($B649*U$564,2)</f>
        <v>0</v>
      </c>
      <c r="V649" s="41">
        <f>ROUND($B649*V$563,2)</f>
        <v>0</v>
      </c>
      <c r="W649" s="42">
        <f>ROUND($B649*W$564,2)</f>
        <v>0</v>
      </c>
      <c r="X649" s="42">
        <f>ROUND($B649*X$564,2)</f>
        <v>0</v>
      </c>
      <c r="Y649" s="42">
        <f>ROUND($B649*Y$564,2)</f>
        <v>0</v>
      </c>
      <c r="Z649" s="42">
        <f>ROUND($B649*Z$564,2)</f>
        <v>0</v>
      </c>
      <c r="AA649" s="42">
        <f>ROUND($B649*AA$564,2)</f>
        <v>0</v>
      </c>
      <c r="AB649" s="19">
        <f>SUM(U$564:AA$564)+(-V$564+V594)</f>
        <v>2.3699999999999997E-3</v>
      </c>
      <c r="AC649" s="94" t="str">
        <f>+F649</f>
        <v>PL4</v>
      </c>
    </row>
    <row r="650" spans="1:29" x14ac:dyDescent="0.2">
      <c r="A650" s="9"/>
      <c r="B650" s="97">
        <v>-1</v>
      </c>
      <c r="D650" s="41"/>
      <c r="E650" s="80"/>
      <c r="F650" s="36"/>
      <c r="G650" s="42"/>
      <c r="H650" s="19"/>
      <c r="I650" s="19"/>
      <c r="J650" s="88"/>
      <c r="K650" s="42"/>
      <c r="L650" s="42"/>
      <c r="M650" s="42"/>
      <c r="N650" s="42"/>
      <c r="O650" s="42"/>
      <c r="P650" s="42"/>
      <c r="Q650" s="42"/>
      <c r="R650" s="38" t="e">
        <f>VLOOKUP((D651),'Pwr Factor'!$A$1:$B$52,2)</f>
        <v>#N/A</v>
      </c>
      <c r="S650" s="50">
        <v>0.5</v>
      </c>
      <c r="T650" s="42"/>
      <c r="U650" s="42"/>
      <c r="V650" s="41"/>
      <c r="W650" s="42"/>
      <c r="X650" s="42"/>
      <c r="Y650" s="42"/>
      <c r="Z650" s="42"/>
      <c r="AA650" s="42"/>
      <c r="AB650" s="19"/>
      <c r="AC650" s="94"/>
    </row>
    <row r="651" spans="1:29" x14ac:dyDescent="0.2">
      <c r="A651" s="1" t="s">
        <v>149</v>
      </c>
      <c r="B651" s="103">
        <f>IF(AND('AES Indiana Bill Calc.'!$D$17="PL",'AES Indiana Bill Calc.'!$D$18="Yes 50%",'AES Indiana Bill Calc.'!$D$20="Yes 2024"),'AES Indiana Bill Calc.'!$D$19,-1)</f>
        <v>-1</v>
      </c>
      <c r="C651" s="103">
        <f>MAX(E651,$C$562)</f>
        <v>500</v>
      </c>
      <c r="D651" s="103" t="b">
        <f>IF(AND('AES Indiana Bill Calc.'!$D$17="PL",'AES Indiana Bill Calc.'!$D$18="Yes 50%",'AES Indiana Bill Calc.'!$D$20="Yes 2024"),'AES Indiana Bill Calc.'!$D$22)</f>
        <v>0</v>
      </c>
      <c r="E651" s="103" t="b">
        <f>IF(AND('AES Indiana Bill Calc.'!$D$17="PL",'AES Indiana Bill Calc.'!$D$18="Yes 50%",'AES Indiana Bill Calc.'!$D$20="Yes 2024"),'AES Indiana Bill Calc.'!$D$21)</f>
        <v>0</v>
      </c>
      <c r="F651" s="36" t="s">
        <v>305</v>
      </c>
      <c r="G651" s="42" t="e">
        <f>SUM(J651:M651,R651:AA651)</f>
        <v>#N/A</v>
      </c>
      <c r="H651" s="19" t="e">
        <f>IF(ISBLANK(B651),0,+#REF!/B651)</f>
        <v>#REF!</v>
      </c>
      <c r="I651" s="19"/>
      <c r="J651" s="88">
        <f>IF(ISBLANK(B651),0,+J$564)</f>
        <v>130</v>
      </c>
      <c r="K651" s="42">
        <f>ROUND($B651*K$564,2)</f>
        <v>-0.04</v>
      </c>
      <c r="L651" s="92">
        <f>IF($C651&gt;L$565,ROUND(L$565*L$564,2),ROUND($C651*L$564,2))</f>
        <v>14150</v>
      </c>
      <c r="M651" s="92">
        <f>IF($C651&gt;L$565,ROUND(($C651-L$565)*M$564,2),0)</f>
        <v>0</v>
      </c>
      <c r="N651" s="92">
        <f>K651</f>
        <v>-0.04</v>
      </c>
      <c r="O651" s="42"/>
      <c r="P651" s="42"/>
      <c r="Q651" s="92">
        <f>SUM(L651:M651)</f>
        <v>14150</v>
      </c>
      <c r="R651" s="82" t="e">
        <f>ROUND(SUM(K651:M651)*(R650-1),2)</f>
        <v>#N/A</v>
      </c>
      <c r="S651" s="42">
        <f>ROUND($B651*S$564*S650,2)</f>
        <v>0</v>
      </c>
      <c r="T651" s="42">
        <f>ROUND($B651*T$564,2)</f>
        <v>0</v>
      </c>
      <c r="U651" s="42">
        <f>ROUND($B651*U$564,2)</f>
        <v>0</v>
      </c>
      <c r="V651" s="41">
        <f>ROUND($B651*V$563,2)</f>
        <v>0</v>
      </c>
      <c r="W651" s="42">
        <f>ROUND($B651*W$564,2)</f>
        <v>0</v>
      </c>
      <c r="X651" s="42">
        <f>ROUND($B651*X$564,2)</f>
        <v>0</v>
      </c>
      <c r="Y651" s="42">
        <f>ROUND($B651*Y$564,2)</f>
        <v>0</v>
      </c>
      <c r="Z651" s="42">
        <f>ROUND($B651*Z$564,2)</f>
        <v>0</v>
      </c>
      <c r="AA651" s="42">
        <f>ROUND($B651*AA$564,2)</f>
        <v>0</v>
      </c>
      <c r="AB651" s="19">
        <f>SUM(U$564:AA$564)+(-V$564+V596)</f>
        <v>2.3699999999999997E-3</v>
      </c>
      <c r="AC651" s="94" t="str">
        <f>+F651</f>
        <v>PL4</v>
      </c>
    </row>
    <row r="652" spans="1:29" x14ac:dyDescent="0.2">
      <c r="A652" s="9"/>
      <c r="B652" s="97">
        <v>-1</v>
      </c>
      <c r="D652" s="41"/>
      <c r="E652" s="80"/>
      <c r="F652" s="36"/>
      <c r="G652" s="42"/>
      <c r="H652" s="19"/>
      <c r="I652" s="19"/>
      <c r="J652" s="88"/>
      <c r="K652" s="42"/>
      <c r="L652" s="42"/>
      <c r="M652" s="42"/>
      <c r="N652" s="42"/>
      <c r="O652" s="42"/>
      <c r="P652" s="42"/>
      <c r="Q652" s="42"/>
      <c r="R652" s="38" t="e">
        <f>VLOOKUP((D653),'Pwr Factor'!$A$1:$B$52,2)</f>
        <v>#N/A</v>
      </c>
      <c r="S652" s="50">
        <v>0.25</v>
      </c>
      <c r="T652" s="42"/>
      <c r="U652" s="42"/>
      <c r="V652" s="41"/>
      <c r="W652" s="42"/>
      <c r="X652" s="42"/>
      <c r="Y652" s="42"/>
      <c r="Z652" s="42"/>
      <c r="AA652" s="42"/>
      <c r="AB652" s="19"/>
      <c r="AC652" s="94"/>
    </row>
    <row r="653" spans="1:29" x14ac:dyDescent="0.2">
      <c r="A653" s="1" t="s">
        <v>150</v>
      </c>
      <c r="B653" s="103">
        <f>IF(AND('AES Indiana Bill Calc.'!$D$17="PL",'AES Indiana Bill Calc.'!$D$18="Yes 25%",'AES Indiana Bill Calc.'!$D$20="Yes 2024"),'AES Indiana Bill Calc.'!$D$19,-1)</f>
        <v>-1</v>
      </c>
      <c r="C653" s="103">
        <f>MAX(E653,$C$562)</f>
        <v>500</v>
      </c>
      <c r="D653" s="103" t="b">
        <f>IF(AND('AES Indiana Bill Calc.'!$D$17="PL",'AES Indiana Bill Calc.'!$D$18="Yes 25%",'AES Indiana Bill Calc.'!$D$20="Yes 2024"),'AES Indiana Bill Calc.'!$D$22)</f>
        <v>0</v>
      </c>
      <c r="E653" s="103" t="b">
        <f>IF(AND('AES Indiana Bill Calc.'!$D$17="PL",'AES Indiana Bill Calc.'!$D$18="Yes 25%",'AES Indiana Bill Calc.'!$D$20="Yes 2024"),'AES Indiana Bill Calc.'!$D$21)</f>
        <v>0</v>
      </c>
      <c r="F653" s="36" t="s">
        <v>305</v>
      </c>
      <c r="G653" s="42" t="e">
        <f>SUM(J653:M653,R653:AA653)</f>
        <v>#N/A</v>
      </c>
      <c r="H653" s="19" t="e">
        <f>IF(ISBLANK(B653),0,+#REF!/B653)</f>
        <v>#REF!</v>
      </c>
      <c r="I653" s="19"/>
      <c r="J653" s="88">
        <f>IF(ISBLANK(B653),0,+J$564)</f>
        <v>130</v>
      </c>
      <c r="K653" s="42">
        <f>ROUND($B653*K$564,2)</f>
        <v>-0.04</v>
      </c>
      <c r="L653" s="92">
        <f>IF($C653&gt;L$565,ROUND(L$565*L$564,2),ROUND($C653*L$564,2))</f>
        <v>14150</v>
      </c>
      <c r="M653" s="92">
        <f>IF($C653&gt;L$565,ROUND(($C653-L$565)*M$564,2),0)</f>
        <v>0</v>
      </c>
      <c r="N653" s="92">
        <f>K653</f>
        <v>-0.04</v>
      </c>
      <c r="O653" s="42"/>
      <c r="P653" s="42"/>
      <c r="Q653" s="92">
        <f>SUM(L653:M653)</f>
        <v>14150</v>
      </c>
      <c r="R653" s="82" t="e">
        <f>ROUND(SUM(K653:M653)*(R652-1),2)</f>
        <v>#N/A</v>
      </c>
      <c r="S653" s="42">
        <f>ROUND($B653*S$564*S652,2)</f>
        <v>0</v>
      </c>
      <c r="T653" s="42">
        <f>ROUND($B653*T$564,2)</f>
        <v>0</v>
      </c>
      <c r="U653" s="42">
        <f>ROUND($B653*U$564,2)</f>
        <v>0</v>
      </c>
      <c r="V653" s="41">
        <f>ROUND($B653*V$563,2)</f>
        <v>0</v>
      </c>
      <c r="W653" s="42">
        <f>ROUND($B653*W$564,2)</f>
        <v>0</v>
      </c>
      <c r="X653" s="42">
        <f>ROUND($B653*X$564,2)</f>
        <v>0</v>
      </c>
      <c r="Y653" s="42">
        <f>ROUND($B653*Y$564,2)</f>
        <v>0</v>
      </c>
      <c r="Z653" s="42">
        <f>ROUND($B653*Z$564,2)</f>
        <v>0</v>
      </c>
      <c r="AA653" s="42">
        <f>ROUND($B653*AA$564,2)</f>
        <v>0</v>
      </c>
      <c r="AB653" s="19">
        <f>SUM(U$564:AA$564)+(-V$564+V598)</f>
        <v>2.3699999999999997E-3</v>
      </c>
      <c r="AC653" s="94" t="str">
        <f>+F653</f>
        <v>PL4</v>
      </c>
    </row>
    <row r="654" spans="1:29" x14ac:dyDescent="0.2">
      <c r="A654" s="9"/>
      <c r="B654" s="97">
        <v>-1</v>
      </c>
      <c r="D654" s="41"/>
      <c r="E654" s="80"/>
      <c r="F654" s="36"/>
      <c r="G654" s="42"/>
      <c r="H654" s="19"/>
      <c r="I654" s="19"/>
      <c r="J654" s="88"/>
      <c r="K654" s="42"/>
      <c r="L654" s="42"/>
      <c r="M654" s="42"/>
      <c r="N654" s="42"/>
      <c r="O654" s="42"/>
      <c r="P654" s="42"/>
      <c r="Q654" s="42"/>
      <c r="R654" s="38" t="e">
        <f>VLOOKUP((D655),'Pwr Factor'!$A$1:$B$52,2)</f>
        <v>#N/A</v>
      </c>
      <c r="S654" s="50">
        <v>0.1</v>
      </c>
      <c r="T654" s="42"/>
      <c r="U654" s="42"/>
      <c r="V654" s="41"/>
      <c r="W654" s="42"/>
      <c r="X654" s="42"/>
      <c r="Y654" s="42"/>
      <c r="Z654" s="42"/>
      <c r="AA654" s="42"/>
      <c r="AB654" s="19"/>
      <c r="AC654" s="94"/>
    </row>
    <row r="655" spans="1:29" x14ac:dyDescent="0.2">
      <c r="A655" s="1" t="s">
        <v>164</v>
      </c>
      <c r="B655" s="103">
        <f>IF(AND('AES Indiana Bill Calc.'!$D$17="PL",'AES Indiana Bill Calc.'!$D$18="Yes 10%",'AES Indiana Bill Calc.'!$D$20="Yes 2024"),'AES Indiana Bill Calc.'!$D$19,-1)</f>
        <v>-1</v>
      </c>
      <c r="C655" s="103">
        <f>MAX(E655,$C$562)</f>
        <v>500</v>
      </c>
      <c r="D655" s="103" t="b">
        <f>IF(AND('AES Indiana Bill Calc.'!$D$17="PL",'AES Indiana Bill Calc.'!$D$18="Yes 10%",'AES Indiana Bill Calc.'!$D$20="Yes 2024"),'AES Indiana Bill Calc.'!$D$22)</f>
        <v>0</v>
      </c>
      <c r="E655" s="103" t="b">
        <f>IF(AND('AES Indiana Bill Calc.'!$D$17="PL",'AES Indiana Bill Calc.'!$D$18="Yes 10%",'AES Indiana Bill Calc.'!$D$20="Yes 2024"),'AES Indiana Bill Calc.'!$D$21)</f>
        <v>0</v>
      </c>
      <c r="F655" s="36" t="s">
        <v>305</v>
      </c>
      <c r="G655" s="42" t="e">
        <f>SUM(J655:M655,R655:AA655)</f>
        <v>#N/A</v>
      </c>
      <c r="H655" s="19" t="e">
        <f>IF(ISBLANK(B655),0,+#REF!/B655)</f>
        <v>#REF!</v>
      </c>
      <c r="I655" s="19"/>
      <c r="J655" s="88">
        <f>IF(ISBLANK(B655),0,+J$564)</f>
        <v>130</v>
      </c>
      <c r="K655" s="42">
        <f>ROUND($B655*K$564,2)</f>
        <v>-0.04</v>
      </c>
      <c r="L655" s="92">
        <f>IF($C655&gt;L$565,ROUND(L$565*L$564,2),ROUND($C655*L$564,2))</f>
        <v>14150</v>
      </c>
      <c r="M655" s="92">
        <f>IF($C655&gt;L$565,ROUND(($C655-L$565)*M$564,2),0)</f>
        <v>0</v>
      </c>
      <c r="N655" s="92">
        <f>K655</f>
        <v>-0.04</v>
      </c>
      <c r="O655" s="42"/>
      <c r="P655" s="42"/>
      <c r="Q655" s="92">
        <f>SUM(L655:M655)</f>
        <v>14150</v>
      </c>
      <c r="R655" s="82" t="e">
        <f>ROUND(SUM(K655:M655)*(R654-1),2)</f>
        <v>#N/A</v>
      </c>
      <c r="S655" s="42">
        <f>ROUND($B655*S$564*S654,2)</f>
        <v>0</v>
      </c>
      <c r="T655" s="42">
        <f>ROUND($B655*T$564,2)</f>
        <v>0</v>
      </c>
      <c r="U655" s="42">
        <f>ROUND($B655*U$564,2)</f>
        <v>0</v>
      </c>
      <c r="V655" s="41">
        <f>ROUND($B655*V$563,2)</f>
        <v>0</v>
      </c>
      <c r="W655" s="42">
        <f>ROUND($B655*W$564,2)</f>
        <v>0</v>
      </c>
      <c r="X655" s="42">
        <f>ROUND($B655*X$564,2)</f>
        <v>0</v>
      </c>
      <c r="Y655" s="42">
        <f>ROUND($B655*Y$564,2)</f>
        <v>0</v>
      </c>
      <c r="Z655" s="42">
        <f>ROUND($B655*Z$564,2)</f>
        <v>0</v>
      </c>
      <c r="AA655" s="42">
        <f>ROUND($B655*AA$564,2)</f>
        <v>0</v>
      </c>
      <c r="AB655" s="19">
        <f>SUM(U$564:AA$564)+(-V$564+V600)</f>
        <v>2.3699999999999997E-3</v>
      </c>
      <c r="AC655" s="94" t="str">
        <f>+F655</f>
        <v>PL4</v>
      </c>
    </row>
    <row r="656" spans="1:29" x14ac:dyDescent="0.2">
      <c r="A656" s="9"/>
      <c r="B656" s="97">
        <v>-1</v>
      </c>
      <c r="D656" s="41"/>
      <c r="E656" s="80"/>
      <c r="F656" s="36"/>
      <c r="G656" s="42"/>
      <c r="H656" s="19"/>
      <c r="I656" s="19"/>
      <c r="J656" s="88"/>
      <c r="K656" s="42"/>
      <c r="L656" s="42"/>
      <c r="M656" s="42"/>
      <c r="N656" s="42"/>
      <c r="O656" s="42"/>
      <c r="P656" s="42"/>
      <c r="Q656" s="42"/>
      <c r="R656" s="38" t="e">
        <f>VLOOKUP((D657),'Pwr Factor'!$A$1:$B$52,2)</f>
        <v>#N/A</v>
      </c>
      <c r="S656" s="50">
        <v>0</v>
      </c>
      <c r="T656" s="42"/>
      <c r="U656" s="42"/>
      <c r="V656" s="41"/>
      <c r="W656" s="42"/>
      <c r="X656" s="42"/>
      <c r="Y656" s="42"/>
      <c r="Z656" s="42"/>
      <c r="AA656" s="42"/>
      <c r="AB656" s="19"/>
      <c r="AC656" s="94"/>
    </row>
    <row r="657" spans="1:29" x14ac:dyDescent="0.2">
      <c r="A657" s="1" t="s">
        <v>147</v>
      </c>
      <c r="B657" s="103">
        <f>IF(AND('AES Indiana Bill Calc.'!$D$17="PL",'AES Indiana Bill Calc.'!$D$18="No",'AES Indiana Bill Calc.'!$D$20="Yes 2024"),'AES Indiana Bill Calc.'!$D$19,-1)</f>
        <v>-1</v>
      </c>
      <c r="C657" s="103">
        <f>MAX(E657,$C$562)</f>
        <v>500</v>
      </c>
      <c r="D657" s="103" t="b">
        <f>IF(AND('AES Indiana Bill Calc.'!$D$17="PL",'AES Indiana Bill Calc.'!$D$18="No",'AES Indiana Bill Calc.'!$D$20="Yes 2024"),'AES Indiana Bill Calc.'!$D$22)</f>
        <v>0</v>
      </c>
      <c r="E657" s="103" t="b">
        <f>IF(AND('AES Indiana Bill Calc.'!$D$17="PL",'AES Indiana Bill Calc.'!$D$18="No",'AES Indiana Bill Calc.'!$D$20="Yes 2024"),'AES Indiana Bill Calc.'!$D$21)</f>
        <v>0</v>
      </c>
      <c r="F657" s="36" t="s">
        <v>305</v>
      </c>
      <c r="G657" s="42" t="e">
        <f>SUM(J657:M657,R657:AA657)</f>
        <v>#N/A</v>
      </c>
      <c r="H657" s="19" t="e">
        <f>IF(ISBLANK(B657),0,+#REF!/B657)</f>
        <v>#REF!</v>
      </c>
      <c r="I657" s="19"/>
      <c r="J657" s="88">
        <f>IF(ISBLANK(B657),0,+J$564)</f>
        <v>130</v>
      </c>
      <c r="K657" s="42">
        <f>ROUND($B657*K$564,2)</f>
        <v>-0.04</v>
      </c>
      <c r="L657" s="92">
        <f>IF($C657&gt;L$565,ROUND(L$565*L$564,2),ROUND($C657*L$564,2))</f>
        <v>14150</v>
      </c>
      <c r="M657" s="92">
        <f>IF($C657&gt;L$565,ROUND(($C657-L$565)*M$564,2),0)</f>
        <v>0</v>
      </c>
      <c r="N657" s="92">
        <f>K657</f>
        <v>-0.04</v>
      </c>
      <c r="O657" s="42"/>
      <c r="P657" s="42"/>
      <c r="Q657" s="92">
        <f>SUM(L657:M657)</f>
        <v>14150</v>
      </c>
      <c r="R657" s="82" t="e">
        <f>ROUND(SUM(K657:M657)*(R656-1),2)</f>
        <v>#N/A</v>
      </c>
      <c r="S657" s="42">
        <f>ROUND($B657*S$564*S656,2)</f>
        <v>0</v>
      </c>
      <c r="T657" s="42">
        <f>ROUND($B657*T$564,2)</f>
        <v>0</v>
      </c>
      <c r="U657" s="42">
        <f>ROUND($B657*U$564,2)</f>
        <v>0</v>
      </c>
      <c r="V657" s="41">
        <f>ROUND($B657*V$563,2)</f>
        <v>0</v>
      </c>
      <c r="W657" s="42">
        <f>ROUND($B657*W$564,2)</f>
        <v>0</v>
      </c>
      <c r="X657" s="42">
        <f>ROUND($B657*X$564,2)</f>
        <v>0</v>
      </c>
      <c r="Y657" s="42">
        <f>ROUND($B657*Y$564,2)</f>
        <v>0</v>
      </c>
      <c r="Z657" s="42">
        <f>ROUND($B657*Z$564,2)</f>
        <v>0</v>
      </c>
      <c r="AA657" s="42">
        <f>ROUND($B657*AA$564,2)</f>
        <v>0</v>
      </c>
      <c r="AB657" s="19">
        <f>SUM(U$564:AA$564)+(-V$564+V602)</f>
        <v>2.3699999999999997E-3</v>
      </c>
      <c r="AC657" s="94" t="str">
        <f>+F657</f>
        <v>PL4</v>
      </c>
    </row>
    <row r="658" spans="1:29" x14ac:dyDescent="0.2">
      <c r="A658" s="1"/>
      <c r="B658" s="103">
        <v>-1</v>
      </c>
      <c r="C658" s="103"/>
      <c r="D658" s="103"/>
      <c r="E658" s="103"/>
      <c r="F658" s="36"/>
      <c r="G658" s="42"/>
      <c r="H658" s="19"/>
      <c r="I658" s="19"/>
      <c r="J658" s="88"/>
      <c r="K658" s="42"/>
      <c r="L658" s="92"/>
      <c r="M658" s="92"/>
      <c r="N658" s="92"/>
      <c r="O658" s="42"/>
      <c r="P658" s="42"/>
      <c r="Q658" s="92"/>
      <c r="R658" s="82"/>
      <c r="S658" s="42"/>
      <c r="T658" s="42"/>
      <c r="U658" s="42"/>
      <c r="V658" s="27">
        <f>+T13</f>
        <v>0</v>
      </c>
      <c r="W658" s="6" t="s">
        <v>155</v>
      </c>
      <c r="X658" s="42"/>
      <c r="Y658" s="42"/>
      <c r="Z658" s="42"/>
      <c r="AA658" s="42"/>
      <c r="AB658" s="19"/>
      <c r="AC658" s="94"/>
    </row>
    <row r="659" spans="1:29" x14ac:dyDescent="0.2">
      <c r="B659" s="103">
        <v>-1</v>
      </c>
      <c r="C659" s="9"/>
      <c r="D659" s="8"/>
      <c r="I659" s="19"/>
      <c r="S659" s="6"/>
      <c r="T659" s="6"/>
      <c r="U659" s="6"/>
      <c r="V659" s="27">
        <f>T16</f>
        <v>-4.3999999999999999E-5</v>
      </c>
      <c r="W659" s="6" t="s">
        <v>156</v>
      </c>
      <c r="X659" s="6"/>
      <c r="Y659" s="6"/>
      <c r="Z659" s="6"/>
      <c r="AA659" s="6"/>
      <c r="AB659" s="19"/>
    </row>
    <row r="660" spans="1:29" x14ac:dyDescent="0.2">
      <c r="B660" s="103">
        <v>-1</v>
      </c>
      <c r="C660" s="9"/>
      <c r="D660" s="8"/>
      <c r="I660" s="19"/>
      <c r="S660" s="6"/>
      <c r="T660" s="6"/>
      <c r="U660" s="6"/>
      <c r="V660" s="27">
        <f>$T$19</f>
        <v>1.15E-4</v>
      </c>
      <c r="W660" s="6" t="s">
        <v>157</v>
      </c>
      <c r="X660" s="6"/>
      <c r="Y660" s="6"/>
      <c r="Z660" s="6"/>
      <c r="AA660" s="6"/>
      <c r="AB660" s="19"/>
    </row>
    <row r="661" spans="1:29" x14ac:dyDescent="0.2">
      <c r="B661" s="103">
        <v>-1</v>
      </c>
      <c r="C661" s="9"/>
      <c r="D661" s="8"/>
      <c r="I661" s="19"/>
      <c r="S661" s="6"/>
      <c r="T661" s="6"/>
      <c r="U661" s="6"/>
      <c r="V661" s="27">
        <f>$T$21</f>
        <v>4.6099999999999998E-4</v>
      </c>
      <c r="W661" s="6" t="s">
        <v>158</v>
      </c>
      <c r="X661" s="6"/>
      <c r="Y661" s="6"/>
      <c r="Z661" s="6"/>
      <c r="AA661" s="6"/>
      <c r="AB661" s="19"/>
    </row>
    <row r="662" spans="1:29" x14ac:dyDescent="0.2">
      <c r="B662" s="103">
        <v>-1</v>
      </c>
      <c r="C662" s="9"/>
      <c r="D662" s="8"/>
      <c r="I662" s="19"/>
      <c r="S662" s="6"/>
      <c r="T662" s="6"/>
      <c r="U662" s="6"/>
      <c r="V662" s="27">
        <f>$T$23</f>
        <v>-8.1300000000000003E-4</v>
      </c>
      <c r="W662" s="6" t="s">
        <v>159</v>
      </c>
      <c r="X662" s="6"/>
      <c r="Y662" s="6"/>
      <c r="Z662" s="6"/>
      <c r="AA662" s="6"/>
      <c r="AB662" s="19"/>
    </row>
    <row r="663" spans="1:29" x14ac:dyDescent="0.2">
      <c r="B663" s="103">
        <v>-1</v>
      </c>
      <c r="C663" s="9"/>
      <c r="D663" s="8"/>
      <c r="I663" s="19"/>
      <c r="S663" s="6"/>
      <c r="T663" s="6"/>
      <c r="U663" s="6"/>
      <c r="V663" s="27">
        <f>$T$25</f>
        <v>0</v>
      </c>
      <c r="W663" s="6" t="s">
        <v>160</v>
      </c>
      <c r="X663" s="6"/>
      <c r="Y663" s="6"/>
      <c r="Z663" s="6"/>
      <c r="AA663" s="6"/>
      <c r="AB663" s="19"/>
    </row>
    <row r="664" spans="1:29" x14ac:dyDescent="0.2">
      <c r="B664" s="103">
        <v>-1</v>
      </c>
      <c r="C664" s="9"/>
      <c r="D664" s="8"/>
      <c r="I664" s="19"/>
      <c r="S664" s="6"/>
      <c r="T664" s="6"/>
      <c r="U664" s="6"/>
      <c r="V664" s="19">
        <f>T27</f>
        <v>0</v>
      </c>
      <c r="W664" s="6" t="s">
        <v>161</v>
      </c>
      <c r="X664" s="6"/>
      <c r="Y664" s="6"/>
      <c r="Z664" s="6"/>
      <c r="AA664" s="6"/>
      <c r="AB664" s="19"/>
    </row>
    <row r="665" spans="1:29" x14ac:dyDescent="0.2">
      <c r="B665" s="103"/>
      <c r="C665" s="9"/>
      <c r="D665" s="8"/>
      <c r="I665" s="19"/>
      <c r="S665" s="6"/>
      <c r="T665" s="6"/>
      <c r="U665" s="6"/>
      <c r="V665" s="19">
        <f>T29</f>
        <v>2.6050000000000001E-3</v>
      </c>
      <c r="W665" s="6" t="s">
        <v>301</v>
      </c>
      <c r="X665" s="6"/>
      <c r="Y665" s="6"/>
      <c r="Z665" s="6"/>
      <c r="AA665" s="6"/>
      <c r="AB665" s="19"/>
    </row>
    <row r="666" spans="1:29" x14ac:dyDescent="0.2">
      <c r="A666" s="1"/>
      <c r="B666" s="103">
        <v>-1</v>
      </c>
      <c r="C666" s="33" t="s">
        <v>194</v>
      </c>
      <c r="D666" s="8"/>
      <c r="F666" s="70"/>
      <c r="G666" s="70"/>
      <c r="H666" s="70"/>
      <c r="I666" s="75"/>
      <c r="J666" s="161">
        <v>1250</v>
      </c>
      <c r="K666" s="162">
        <v>9.7390000000000004E-2</v>
      </c>
      <c r="L666" s="162">
        <v>8.2614000000000007E-2</v>
      </c>
      <c r="M666" s="8">
        <v>0</v>
      </c>
      <c r="N666" s="8"/>
      <c r="O666" s="8"/>
      <c r="P666" s="8"/>
      <c r="Q666" s="8"/>
      <c r="R666" s="5"/>
      <c r="S666" s="27">
        <f>+M$5</f>
        <v>3.0000000000000001E-3</v>
      </c>
      <c r="T666" s="27">
        <f t="shared" ref="T666:AA666" si="41">+R$5</f>
        <v>-3.4320000000000002E-3</v>
      </c>
      <c r="U666" s="27">
        <f>S5</f>
        <v>6.1300000000000005E-4</v>
      </c>
      <c r="V666" s="27">
        <f>+T$5</f>
        <v>5.5240000000000003E-3</v>
      </c>
      <c r="W666" s="27">
        <f t="shared" si="41"/>
        <v>0</v>
      </c>
      <c r="X666" s="27">
        <f t="shared" si="41"/>
        <v>2.9169999999999999E-3</v>
      </c>
      <c r="Y666" s="27">
        <f>+W$5</f>
        <v>-9.9299999999999996E-4</v>
      </c>
      <c r="Z666" s="27">
        <f t="shared" si="41"/>
        <v>2.5500000000000002E-4</v>
      </c>
      <c r="AA666" s="27">
        <f t="shared" si="41"/>
        <v>-4.08E-4</v>
      </c>
      <c r="AB666" s="19">
        <f>SUM(U666:Z666)</f>
        <v>8.3159999999999987E-3</v>
      </c>
    </row>
    <row r="667" spans="1:29" x14ac:dyDescent="0.2">
      <c r="B667" s="103">
        <v>-1</v>
      </c>
      <c r="C667" s="9">
        <v>100</v>
      </c>
      <c r="D667" s="8"/>
      <c r="F667" s="70"/>
      <c r="G667" s="70"/>
      <c r="H667" s="70"/>
      <c r="I667" s="75"/>
      <c r="J667" s="70"/>
      <c r="K667" s="73">
        <v>250</v>
      </c>
      <c r="L667" s="73"/>
    </row>
    <row r="668" spans="1:29" x14ac:dyDescent="0.2">
      <c r="B668" s="103">
        <v>-1</v>
      </c>
      <c r="C668" s="9"/>
      <c r="D668" s="8"/>
      <c r="F668" s="12"/>
      <c r="I668" s="19"/>
      <c r="J668" s="12" t="s">
        <v>137</v>
      </c>
      <c r="K668" s="204" t="s">
        <v>28</v>
      </c>
      <c r="L668" s="204"/>
      <c r="M668" s="13" t="s">
        <v>220</v>
      </c>
      <c r="N668" s="12"/>
      <c r="O668" s="12"/>
      <c r="P668" s="139" t="s">
        <v>221</v>
      </c>
      <c r="Q668" s="143" t="s">
        <v>173</v>
      </c>
      <c r="R668" s="12" t="s">
        <v>196</v>
      </c>
      <c r="S668" s="12">
        <v>21</v>
      </c>
      <c r="T668" s="12">
        <v>6</v>
      </c>
      <c r="U668" s="12">
        <v>3</v>
      </c>
      <c r="V668" s="12">
        <v>22</v>
      </c>
      <c r="W668" s="12">
        <v>13</v>
      </c>
      <c r="X668" s="12">
        <v>20</v>
      </c>
      <c r="Y668" s="12">
        <v>24</v>
      </c>
      <c r="Z668" s="12">
        <v>25</v>
      </c>
      <c r="AA668" s="12">
        <v>26</v>
      </c>
    </row>
    <row r="669" spans="1:29" x14ac:dyDescent="0.2">
      <c r="A669" s="13"/>
      <c r="B669" s="103">
        <v>-1</v>
      </c>
      <c r="C669" s="99" t="s">
        <v>209</v>
      </c>
      <c r="D669" s="100" t="s">
        <v>210</v>
      </c>
      <c r="E669" s="130" t="s">
        <v>199</v>
      </c>
      <c r="F669" s="13" t="s">
        <v>141</v>
      </c>
      <c r="G669" s="130" t="s">
        <v>142</v>
      </c>
      <c r="H669" s="13" t="s">
        <v>143</v>
      </c>
      <c r="I669" s="152" t="s">
        <v>222</v>
      </c>
      <c r="J669" s="13" t="s">
        <v>144</v>
      </c>
      <c r="K669" s="13" t="s">
        <v>223</v>
      </c>
      <c r="L669" s="13" t="s">
        <v>224</v>
      </c>
      <c r="M669" s="13" t="s">
        <v>144</v>
      </c>
      <c r="N669" s="143" t="s">
        <v>138</v>
      </c>
      <c r="O669" s="13"/>
      <c r="P669" s="12"/>
      <c r="Q669" s="13"/>
      <c r="R669" s="13" t="s">
        <v>201</v>
      </c>
      <c r="S669" s="13" t="s">
        <v>106</v>
      </c>
      <c r="T669" s="13" t="s">
        <v>36</v>
      </c>
      <c r="U669" s="139" t="s">
        <v>38</v>
      </c>
      <c r="V669" s="13" t="s">
        <v>107</v>
      </c>
      <c r="W669" s="13" t="s">
        <v>108</v>
      </c>
      <c r="X669" s="13" t="s">
        <v>109</v>
      </c>
      <c r="Y669" s="139" t="s">
        <v>44</v>
      </c>
      <c r="Z669" s="139" t="s">
        <v>46</v>
      </c>
      <c r="AA669" s="139" t="s">
        <v>48</v>
      </c>
      <c r="AB669" s="66" t="s">
        <v>110</v>
      </c>
    </row>
    <row r="670" spans="1:29" x14ac:dyDescent="0.2">
      <c r="A670" s="48"/>
      <c r="B670" s="103">
        <v>-1</v>
      </c>
      <c r="D670" s="8"/>
      <c r="E670" s="9"/>
      <c r="F670" s="36"/>
      <c r="H670" s="12"/>
      <c r="I670" s="19"/>
      <c r="J670" s="12"/>
      <c r="K670" s="43">
        <f>ROUND(C671*K$667,0)</f>
        <v>25000</v>
      </c>
      <c r="L670" s="35">
        <f>+B671-K670</f>
        <v>-25001</v>
      </c>
      <c r="M670" s="12"/>
      <c r="N670" s="12"/>
      <c r="O670" s="12"/>
      <c r="P670" s="17" t="e">
        <f>SUM(J671:M671,R671:AA671)</f>
        <v>#N/A</v>
      </c>
      <c r="Q670" s="12"/>
      <c r="R670" s="38" t="e">
        <f>VLOOKUP((D671),'Pwr Factor'!$A$1:$B$52,2)</f>
        <v>#N/A</v>
      </c>
      <c r="S670" s="50">
        <v>1</v>
      </c>
      <c r="T670" s="12"/>
      <c r="U670" s="12"/>
      <c r="V670" s="12"/>
      <c r="W670" s="12"/>
      <c r="X670" s="12"/>
      <c r="Y670" s="12"/>
      <c r="Z670" s="12"/>
      <c r="AA670" s="12"/>
    </row>
    <row r="671" spans="1:29" x14ac:dyDescent="0.2">
      <c r="A671" s="1" t="s">
        <v>148</v>
      </c>
      <c r="B671" s="103">
        <f>IF(AND('AES Indiana Bill Calc.'!$D$17="PH",'AES Indiana Bill Calc.'!$D$18="Yes 100%",'AES Indiana Bill Calc.'!$D$20="No"),'AES Indiana Bill Calc.'!$D$19,-1)</f>
        <v>-1</v>
      </c>
      <c r="C671" s="103">
        <f>MAX(E671,$C$667)</f>
        <v>100</v>
      </c>
      <c r="D671" s="103" t="b">
        <f>IF(AND('AES Indiana Bill Calc.'!$D$17="PH",'AES Indiana Bill Calc.'!$D$18="Yes 100%",'AES Indiana Bill Calc.'!$D$20="No"),'AES Indiana Bill Calc.'!$D$22)</f>
        <v>0</v>
      </c>
      <c r="E671" s="103" t="b">
        <f>IF(AND('AES Indiana Bill Calc.'!$D$17="PH",'AES Indiana Bill Calc.'!$D$18="Yes 100%",'AES Indiana Bill Calc.'!$D$20="No"),'AES Indiana Bill Calc.'!$D$21)</f>
        <v>0</v>
      </c>
      <c r="F671" s="36" t="s">
        <v>63</v>
      </c>
      <c r="G671" s="138" t="e">
        <f>MAX(I671,P670)</f>
        <v>#N/A</v>
      </c>
      <c r="H671" s="19" t="e">
        <f>IF(ISBLANK(B671),0,+#REF!/B671)</f>
        <v>#REF!</v>
      </c>
      <c r="I671" s="115">
        <f>(E671*120*$K$666)+$J$666</f>
        <v>1250</v>
      </c>
      <c r="J671" s="51">
        <f>IF(ISBLANK(B671),0,+J$666)</f>
        <v>1250</v>
      </c>
      <c r="K671" s="16">
        <f>IF($B671&gt;K670,ROUND(K670*K$666,2),ROUND($B671*K$666,2))</f>
        <v>-0.1</v>
      </c>
      <c r="L671" s="17">
        <f>IF($B671&gt;K670,ROUND((B671-K670)*L$666,2),0)</f>
        <v>0</v>
      </c>
      <c r="M671" s="17">
        <f>IF($C671&gt;L$565,ROUND(($C671-L$565)*M$564,2),0)</f>
        <v>0</v>
      </c>
      <c r="N671" s="17">
        <f>SUM(K671:L671)</f>
        <v>-0.1</v>
      </c>
      <c r="O671" s="17"/>
      <c r="P671" s="12"/>
      <c r="Q671" s="17">
        <f>M671</f>
        <v>0</v>
      </c>
      <c r="R671" s="16" t="e">
        <f>ROUND(SUM(K671:M671)*(R670-1),2)</f>
        <v>#N/A</v>
      </c>
      <c r="S671" s="17">
        <f>ROUND($B671*S$666*S670,2)</f>
        <v>0</v>
      </c>
      <c r="T671" s="17">
        <f t="shared" ref="T671:AA671" si="42">ROUND($B671*T$666,2)</f>
        <v>0</v>
      </c>
      <c r="U671" s="17">
        <f t="shared" si="42"/>
        <v>0</v>
      </c>
      <c r="V671" s="17">
        <f t="shared" si="42"/>
        <v>-0.01</v>
      </c>
      <c r="W671" s="17">
        <f t="shared" si="42"/>
        <v>0</v>
      </c>
      <c r="X671" s="17">
        <f t="shared" si="42"/>
        <v>0</v>
      </c>
      <c r="Y671" s="17">
        <f t="shared" si="42"/>
        <v>0</v>
      </c>
      <c r="Z671" s="17">
        <f t="shared" si="42"/>
        <v>0</v>
      </c>
      <c r="AA671" s="17">
        <f t="shared" si="42"/>
        <v>0</v>
      </c>
      <c r="AB671" s="19">
        <f>SUM(U666:AA666)</f>
        <v>7.9079999999999984E-3</v>
      </c>
      <c r="AC671" s="67" t="str">
        <f>+F671</f>
        <v>PH</v>
      </c>
    </row>
    <row r="672" spans="1:29" x14ac:dyDescent="0.2">
      <c r="A672" s="9"/>
      <c r="B672" s="103">
        <v>-1</v>
      </c>
      <c r="D672" s="8"/>
      <c r="E672" s="9"/>
      <c r="F672" s="36"/>
      <c r="H672" s="12"/>
      <c r="I672" s="19"/>
      <c r="J672" s="12"/>
      <c r="K672" s="43">
        <f>ROUND(C673*K$667,0)</f>
        <v>25000</v>
      </c>
      <c r="L672" s="35">
        <f>+B673-K672</f>
        <v>-25001</v>
      </c>
      <c r="M672" s="12"/>
      <c r="N672" s="12"/>
      <c r="O672" s="12"/>
      <c r="P672" s="17" t="e">
        <f>SUM(J673:M673,R673:AA673)</f>
        <v>#N/A</v>
      </c>
      <c r="Q672" s="17">
        <f t="shared" ref="Q672:Q735" si="43">M672</f>
        <v>0</v>
      </c>
      <c r="R672" s="38" t="e">
        <f>VLOOKUP((D673),'Pwr Factor'!$A$1:$B$52,2)</f>
        <v>#N/A</v>
      </c>
      <c r="S672" s="50">
        <v>0.5</v>
      </c>
      <c r="T672" s="12"/>
      <c r="U672" s="12"/>
      <c r="V672" s="12"/>
      <c r="W672" s="12"/>
      <c r="X672" s="12"/>
      <c r="Y672" s="12"/>
      <c r="Z672" s="12"/>
      <c r="AA672" s="12"/>
    </row>
    <row r="673" spans="1:29" x14ac:dyDescent="0.2">
      <c r="A673" s="1" t="s">
        <v>149</v>
      </c>
      <c r="B673" s="103">
        <f>IF(AND('AES Indiana Bill Calc.'!$D$17="PH",'AES Indiana Bill Calc.'!$D$18="Yes 50%",'AES Indiana Bill Calc.'!$D$20="No"),'AES Indiana Bill Calc.'!$D$19,-1)</f>
        <v>-1</v>
      </c>
      <c r="C673" s="103">
        <f>MAX(E673,$C$667)</f>
        <v>100</v>
      </c>
      <c r="D673" s="103" t="b">
        <f>IF(AND('AES Indiana Bill Calc.'!$D$17="PH",'AES Indiana Bill Calc.'!$D$18="Yes 50%",'AES Indiana Bill Calc.'!$D$20="No"),'AES Indiana Bill Calc.'!$D$22)</f>
        <v>0</v>
      </c>
      <c r="E673" s="103" t="b">
        <f>IF(AND('AES Indiana Bill Calc.'!$D$17="PH",'AES Indiana Bill Calc.'!$D$18="Yes 50%",'AES Indiana Bill Calc.'!$D$20="No"),'AES Indiana Bill Calc.'!$D$21)</f>
        <v>0</v>
      </c>
      <c r="F673" s="36" t="s">
        <v>63</v>
      </c>
      <c r="G673" s="138" t="e">
        <f>MAX(I673,P672)</f>
        <v>#N/A</v>
      </c>
      <c r="H673" s="19" t="e">
        <f>IF(ISBLANK(B673),0,+#REF!/B673)</f>
        <v>#REF!</v>
      </c>
      <c r="I673" s="115">
        <f>(E673*120*$K$666)+$J$666</f>
        <v>1250</v>
      </c>
      <c r="J673" s="51">
        <f>IF(ISBLANK(B673),0,+J$666)</f>
        <v>1250</v>
      </c>
      <c r="K673" s="16">
        <f>IF($B673&gt;K672,ROUND(K672*K$666,2),ROUND($B673*K$666,2))</f>
        <v>-0.1</v>
      </c>
      <c r="L673" s="17">
        <f>IF($B673&gt;K672,ROUND((B673-K672)*L$666,2),0)</f>
        <v>0</v>
      </c>
      <c r="M673" s="17">
        <f>IF($C673&gt;L$565,ROUND(($C673-L$565)*M$564,2),0)</f>
        <v>0</v>
      </c>
      <c r="N673" s="17">
        <f>SUM(K673:L673)</f>
        <v>-0.1</v>
      </c>
      <c r="O673" s="17"/>
      <c r="P673" s="12"/>
      <c r="Q673" s="17">
        <f>M673</f>
        <v>0</v>
      </c>
      <c r="R673" s="16" t="e">
        <f>ROUND(SUM(K673:M673)*(R672-1),2)</f>
        <v>#N/A</v>
      </c>
      <c r="S673" s="17">
        <f>ROUND($B673*S$666*S672,2)</f>
        <v>0</v>
      </c>
      <c r="T673" s="17">
        <f t="shared" ref="T673:AA673" si="44">ROUND($B673*T$666,2)</f>
        <v>0</v>
      </c>
      <c r="U673" s="17">
        <f t="shared" si="44"/>
        <v>0</v>
      </c>
      <c r="V673" s="17">
        <f t="shared" si="44"/>
        <v>-0.01</v>
      </c>
      <c r="W673" s="17">
        <f t="shared" si="44"/>
        <v>0</v>
      </c>
      <c r="X673" s="17">
        <f t="shared" si="44"/>
        <v>0</v>
      </c>
      <c r="Y673" s="17">
        <f t="shared" si="44"/>
        <v>0</v>
      </c>
      <c r="Z673" s="17">
        <f t="shared" si="44"/>
        <v>0</v>
      </c>
      <c r="AA673" s="17">
        <f t="shared" si="44"/>
        <v>0</v>
      </c>
      <c r="AB673" s="19">
        <f>SUM(U668:AA668)</f>
        <v>133</v>
      </c>
      <c r="AC673" s="67" t="str">
        <f>+F673</f>
        <v>PH</v>
      </c>
    </row>
    <row r="674" spans="1:29" x14ac:dyDescent="0.2">
      <c r="A674" s="9"/>
      <c r="B674" s="103">
        <v>-1</v>
      </c>
      <c r="D674" s="8"/>
      <c r="E674" s="9"/>
      <c r="F674" s="36"/>
      <c r="H674" s="12"/>
      <c r="I674" s="19"/>
      <c r="J674" s="12"/>
      <c r="K674" s="43">
        <f>ROUND(C675*K$667,0)</f>
        <v>25000</v>
      </c>
      <c r="L674" s="35">
        <f>+B675-K674</f>
        <v>-25001</v>
      </c>
      <c r="M674" s="12"/>
      <c r="N674" s="12"/>
      <c r="O674" s="12"/>
      <c r="P674" s="17" t="e">
        <f>SUM(J675:M675,R675:AA675)</f>
        <v>#N/A</v>
      </c>
      <c r="Q674" s="17">
        <f t="shared" si="43"/>
        <v>0</v>
      </c>
      <c r="R674" s="38" t="e">
        <f>VLOOKUP((D675),'Pwr Factor'!$A$1:$B$52,2)</f>
        <v>#N/A</v>
      </c>
      <c r="S674" s="50">
        <v>0.25</v>
      </c>
      <c r="T674" s="12"/>
      <c r="U674" s="12"/>
      <c r="V674" s="12"/>
      <c r="W674" s="12"/>
      <c r="X674" s="12"/>
      <c r="Y674" s="12"/>
      <c r="Z674" s="12"/>
      <c r="AA674" s="12"/>
    </row>
    <row r="675" spans="1:29" x14ac:dyDescent="0.2">
      <c r="A675" s="1" t="s">
        <v>150</v>
      </c>
      <c r="B675" s="103">
        <f>IF(AND('AES Indiana Bill Calc.'!$D$17="PH",'AES Indiana Bill Calc.'!$D$18="Yes 25%",'AES Indiana Bill Calc.'!$D$20="No"),'AES Indiana Bill Calc.'!$D$19,-1)</f>
        <v>-1</v>
      </c>
      <c r="C675" s="103">
        <f>MAX(E675,$C$667)</f>
        <v>100</v>
      </c>
      <c r="D675" s="103" t="b">
        <f>IF(AND('AES Indiana Bill Calc.'!$D$17="PH",'AES Indiana Bill Calc.'!$D$18="Yes 25%",'AES Indiana Bill Calc.'!$D$20="No"),'AES Indiana Bill Calc.'!$D$22)</f>
        <v>0</v>
      </c>
      <c r="E675" s="103" t="b">
        <f>IF(AND('AES Indiana Bill Calc.'!$D$17="PH",'AES Indiana Bill Calc.'!$D$18="Yes 25%",'AES Indiana Bill Calc.'!$D$20="No"),'AES Indiana Bill Calc.'!$D$21)</f>
        <v>0</v>
      </c>
      <c r="F675" s="36" t="s">
        <v>63</v>
      </c>
      <c r="G675" s="138" t="e">
        <f>MAX(I675,P674)</f>
        <v>#N/A</v>
      </c>
      <c r="H675" s="19" t="e">
        <f>IF(ISBLANK(B675),0,+#REF!/B675)</f>
        <v>#REF!</v>
      </c>
      <c r="I675" s="115">
        <f>(E675*120*$K$666)+$J$666</f>
        <v>1250</v>
      </c>
      <c r="J675" s="51">
        <f>IF(ISBLANK(B675),0,+J$666)</f>
        <v>1250</v>
      </c>
      <c r="K675" s="16">
        <f>IF($B675&gt;K674,ROUND(K674*K$666,2),ROUND($B675*K$666,2))</f>
        <v>-0.1</v>
      </c>
      <c r="L675" s="17">
        <f>IF($B675&gt;K674,ROUND((B675-K674)*L$666,2),0)</f>
        <v>0</v>
      </c>
      <c r="M675" s="17">
        <f>IF($C675&gt;L$565,ROUND(($C675-L$565)*M$564,2),0)</f>
        <v>0</v>
      </c>
      <c r="N675" s="17">
        <f>SUM(K675:L675)</f>
        <v>-0.1</v>
      </c>
      <c r="O675" s="17"/>
      <c r="P675" s="12"/>
      <c r="Q675" s="17">
        <f t="shared" si="43"/>
        <v>0</v>
      </c>
      <c r="R675" s="16" t="e">
        <f>ROUND(SUM(K675:M675)*(R674-1),2)</f>
        <v>#N/A</v>
      </c>
      <c r="S675" s="17">
        <f>ROUND($B675*S$666*S674,2)</f>
        <v>0</v>
      </c>
      <c r="T675" s="17">
        <f t="shared" ref="T675:AA675" si="45">ROUND($B675*T$666,2)</f>
        <v>0</v>
      </c>
      <c r="U675" s="17">
        <f t="shared" si="45"/>
        <v>0</v>
      </c>
      <c r="V675" s="17">
        <f t="shared" si="45"/>
        <v>-0.01</v>
      </c>
      <c r="W675" s="17">
        <f t="shared" si="45"/>
        <v>0</v>
      </c>
      <c r="X675" s="17">
        <f t="shared" si="45"/>
        <v>0</v>
      </c>
      <c r="Y675" s="17">
        <f t="shared" si="45"/>
        <v>0</v>
      </c>
      <c r="Z675" s="17">
        <f t="shared" si="45"/>
        <v>0</v>
      </c>
      <c r="AA675" s="17">
        <f t="shared" si="45"/>
        <v>0</v>
      </c>
      <c r="AB675" s="19">
        <f>SUM(U670:AA670)</f>
        <v>0</v>
      </c>
      <c r="AC675" s="67" t="str">
        <f>+F675</f>
        <v>PH</v>
      </c>
    </row>
    <row r="676" spans="1:29" x14ac:dyDescent="0.2">
      <c r="A676" s="9"/>
      <c r="B676" s="103">
        <v>-1</v>
      </c>
      <c r="D676" s="8"/>
      <c r="E676" s="9"/>
      <c r="F676" s="36"/>
      <c r="H676" s="12"/>
      <c r="I676" s="19"/>
      <c r="J676" s="12"/>
      <c r="K676" s="43">
        <f>ROUND(C677*K$667,0)</f>
        <v>25000</v>
      </c>
      <c r="L676" s="35">
        <f>+B677-K676</f>
        <v>-25001</v>
      </c>
      <c r="M676" s="12"/>
      <c r="N676" s="12"/>
      <c r="O676" s="12"/>
      <c r="P676" s="17" t="e">
        <f>SUM(J677:M677,R677:AA677)</f>
        <v>#N/A</v>
      </c>
      <c r="Q676" s="17">
        <f t="shared" si="43"/>
        <v>0</v>
      </c>
      <c r="R676" s="38" t="e">
        <f>VLOOKUP((D677),'Pwr Factor'!$A$1:$B$52,2)</f>
        <v>#N/A</v>
      </c>
      <c r="S676" s="50">
        <v>0.1</v>
      </c>
      <c r="T676" s="12"/>
      <c r="U676" s="12"/>
      <c r="V676" s="12"/>
      <c r="W676" s="12"/>
      <c r="X676" s="12"/>
      <c r="Y676" s="12"/>
      <c r="Z676" s="12"/>
      <c r="AA676" s="12"/>
    </row>
    <row r="677" spans="1:29" x14ac:dyDescent="0.2">
      <c r="A677" s="1" t="s">
        <v>164</v>
      </c>
      <c r="B677" s="103">
        <f>IF(AND('AES Indiana Bill Calc.'!$D$17="PH",'AES Indiana Bill Calc.'!$D$18="Yes 10%",'AES Indiana Bill Calc.'!$D$20="No"),'AES Indiana Bill Calc.'!$D$19,-1)</f>
        <v>-1</v>
      </c>
      <c r="C677" s="103">
        <f>MAX(E677,$C$667)</f>
        <v>100</v>
      </c>
      <c r="D677" s="103" t="b">
        <f>IF(AND('AES Indiana Bill Calc.'!$D$17="PH",'AES Indiana Bill Calc.'!$D$18="Yes 10%",'AES Indiana Bill Calc.'!$D$20="No"),'AES Indiana Bill Calc.'!$D$22)</f>
        <v>0</v>
      </c>
      <c r="E677" s="103" t="b">
        <f>IF(AND('AES Indiana Bill Calc.'!$D$17="PH",'AES Indiana Bill Calc.'!$D$18="Yes 10%",'AES Indiana Bill Calc.'!$D$20="No"),'AES Indiana Bill Calc.'!$D$21)</f>
        <v>0</v>
      </c>
      <c r="F677" s="36" t="s">
        <v>63</v>
      </c>
      <c r="G677" s="138" t="e">
        <f>MAX(I677,P676)</f>
        <v>#N/A</v>
      </c>
      <c r="H677" s="19" t="e">
        <f>IF(ISBLANK(B677),0,+#REF!/B677)</f>
        <v>#REF!</v>
      </c>
      <c r="I677" s="115">
        <f>(E677*120*$K$666)+$J$666</f>
        <v>1250</v>
      </c>
      <c r="J677" s="51">
        <f>IF(ISBLANK(B677),0,+J$666)</f>
        <v>1250</v>
      </c>
      <c r="K677" s="16">
        <f>IF($B677&gt;K676,ROUND(K676*K$666,2),ROUND($B677*K$666,2))</f>
        <v>-0.1</v>
      </c>
      <c r="L677" s="17">
        <f>IF($B677&gt;K676,ROUND((B677-K676)*L$666,2),0)</f>
        <v>0</v>
      </c>
      <c r="M677" s="17">
        <f>IF($C677&gt;L$565,ROUND(($C677-L$565)*M$564,2),0)</f>
        <v>0</v>
      </c>
      <c r="N677" s="17">
        <f>SUM(K677:L677)</f>
        <v>-0.1</v>
      </c>
      <c r="O677" s="17"/>
      <c r="P677" s="12"/>
      <c r="Q677" s="17">
        <f t="shared" si="43"/>
        <v>0</v>
      </c>
      <c r="R677" s="16" t="e">
        <f>ROUND(SUM(K677:M677)*(R676-1),2)</f>
        <v>#N/A</v>
      </c>
      <c r="S677" s="17">
        <f>ROUND($B677*S$666*S676,2)</f>
        <v>0</v>
      </c>
      <c r="T677" s="17">
        <f t="shared" ref="T677:AA677" si="46">ROUND($B677*T$666,2)</f>
        <v>0</v>
      </c>
      <c r="U677" s="17">
        <f t="shared" si="46"/>
        <v>0</v>
      </c>
      <c r="V677" s="17">
        <f t="shared" si="46"/>
        <v>-0.01</v>
      </c>
      <c r="W677" s="17">
        <f t="shared" si="46"/>
        <v>0</v>
      </c>
      <c r="X677" s="17">
        <f t="shared" si="46"/>
        <v>0</v>
      </c>
      <c r="Y677" s="17">
        <f t="shared" si="46"/>
        <v>0</v>
      </c>
      <c r="Z677" s="17">
        <f t="shared" si="46"/>
        <v>0</v>
      </c>
      <c r="AA677" s="17">
        <f t="shared" si="46"/>
        <v>0</v>
      </c>
      <c r="AB677" s="19">
        <f>SUM(U672:AA672)</f>
        <v>0</v>
      </c>
      <c r="AC677" s="67" t="str">
        <f>+F677</f>
        <v>PH</v>
      </c>
    </row>
    <row r="678" spans="1:29" x14ac:dyDescent="0.2">
      <c r="A678" s="9"/>
      <c r="B678" s="103">
        <v>-1</v>
      </c>
      <c r="D678" s="8"/>
      <c r="E678" s="9"/>
      <c r="F678" s="36"/>
      <c r="H678" s="12"/>
      <c r="I678" s="19"/>
      <c r="J678" s="12"/>
      <c r="K678" s="43">
        <f>ROUND(C679*K$667,0)</f>
        <v>25000</v>
      </c>
      <c r="L678" s="35">
        <f>+B679-K678</f>
        <v>-25001</v>
      </c>
      <c r="M678" s="12"/>
      <c r="N678" s="12"/>
      <c r="O678" s="12"/>
      <c r="P678" s="17" t="e">
        <f>SUM(J679:M679,R679:AA679)</f>
        <v>#N/A</v>
      </c>
      <c r="Q678" s="17">
        <f t="shared" si="43"/>
        <v>0</v>
      </c>
      <c r="R678" s="38" t="e">
        <f>VLOOKUP((D679),'Pwr Factor'!$A$1:$B$52,2)</f>
        <v>#N/A</v>
      </c>
      <c r="S678" s="50">
        <v>0</v>
      </c>
      <c r="T678" s="12"/>
      <c r="U678" s="12"/>
      <c r="V678" s="12"/>
      <c r="W678" s="12"/>
      <c r="X678" s="12"/>
      <c r="Y678" s="12"/>
      <c r="Z678" s="12"/>
      <c r="AA678" s="12"/>
    </row>
    <row r="679" spans="1:29" x14ac:dyDescent="0.2">
      <c r="A679" s="1" t="s">
        <v>147</v>
      </c>
      <c r="B679" s="103">
        <f>IF(AND('AES Indiana Bill Calc.'!$D$17="PH",'AES Indiana Bill Calc.'!$D$18="No",'AES Indiana Bill Calc.'!$D$20="No"),'AES Indiana Bill Calc.'!$D$19,-1)</f>
        <v>-1</v>
      </c>
      <c r="C679" s="103">
        <f>MAX(E679,$C$667)</f>
        <v>100</v>
      </c>
      <c r="D679" s="103" t="b">
        <f>IF(AND('AES Indiana Bill Calc.'!$D$17="PH",'AES Indiana Bill Calc.'!$D$18="No",'AES Indiana Bill Calc.'!$D$20="No"),'AES Indiana Bill Calc.'!$D$22)</f>
        <v>0</v>
      </c>
      <c r="E679" s="103" t="b">
        <f>IF(AND('AES Indiana Bill Calc.'!$D$17="PH",'AES Indiana Bill Calc.'!$D$18="No",'AES Indiana Bill Calc.'!$D$20="No"),'AES Indiana Bill Calc.'!$D$21)</f>
        <v>0</v>
      </c>
      <c r="F679" s="36" t="s">
        <v>63</v>
      </c>
      <c r="G679" s="138" t="e">
        <f>MAX(I679,P678)</f>
        <v>#N/A</v>
      </c>
      <c r="H679" s="19" t="e">
        <f>IF(ISBLANK(B679),0,+#REF!/B679)</f>
        <v>#REF!</v>
      </c>
      <c r="I679" s="115">
        <f>(E679*120*$K$666)+$J$666</f>
        <v>1250</v>
      </c>
      <c r="J679" s="51">
        <f>IF(ISBLANK(B679),0,+J$666)</f>
        <v>1250</v>
      </c>
      <c r="K679" s="16">
        <f>IF($B679&gt;K678,ROUND(K678*K$666,2),ROUND($B679*K$666,2))</f>
        <v>-0.1</v>
      </c>
      <c r="L679" s="17">
        <f>IF($B679&gt;K678,ROUND((B679-K678)*L$666,2),0)</f>
        <v>0</v>
      </c>
      <c r="M679" s="17">
        <f>IF($C679&gt;L$565,ROUND(($C679-L$565)*M$564,2),0)</f>
        <v>0</v>
      </c>
      <c r="N679" s="17">
        <f>SUM(K679:L679)</f>
        <v>-0.1</v>
      </c>
      <c r="O679" s="17"/>
      <c r="P679" s="12"/>
      <c r="Q679" s="17">
        <f t="shared" si="43"/>
        <v>0</v>
      </c>
      <c r="R679" s="16" t="e">
        <f>ROUND(SUM(K679:M679)*(R678-1),2)</f>
        <v>#N/A</v>
      </c>
      <c r="S679" s="17">
        <f>ROUND($B679*S$666*S678,2)</f>
        <v>0</v>
      </c>
      <c r="T679" s="17">
        <f t="shared" ref="T679:AA679" si="47">ROUND($B679*T$666,2)</f>
        <v>0</v>
      </c>
      <c r="U679" s="17">
        <f t="shared" si="47"/>
        <v>0</v>
      </c>
      <c r="V679" s="17">
        <f t="shared" si="47"/>
        <v>-0.01</v>
      </c>
      <c r="W679" s="17">
        <f t="shared" si="47"/>
        <v>0</v>
      </c>
      <c r="X679" s="17">
        <f t="shared" si="47"/>
        <v>0</v>
      </c>
      <c r="Y679" s="17">
        <f t="shared" si="47"/>
        <v>0</v>
      </c>
      <c r="Z679" s="17">
        <f t="shared" si="47"/>
        <v>0</v>
      </c>
      <c r="AA679" s="17">
        <f t="shared" si="47"/>
        <v>0</v>
      </c>
      <c r="AB679" s="19">
        <f>SUM(U674:AA674)</f>
        <v>0</v>
      </c>
      <c r="AC679" s="67" t="str">
        <f>+F679</f>
        <v>PH</v>
      </c>
    </row>
    <row r="680" spans="1:29" x14ac:dyDescent="0.2">
      <c r="A680" s="9"/>
      <c r="B680" s="103">
        <v>-1</v>
      </c>
      <c r="D680" s="8"/>
      <c r="E680" s="9"/>
      <c r="F680" s="36"/>
      <c r="H680" s="12"/>
      <c r="I680" s="19"/>
      <c r="J680" s="12"/>
      <c r="K680" s="43">
        <f>ROUND(C681*K$667,0)</f>
        <v>25000</v>
      </c>
      <c r="L680" s="35">
        <f>+B681-K680</f>
        <v>-25001</v>
      </c>
      <c r="M680" s="12"/>
      <c r="N680" s="12"/>
      <c r="O680" s="12"/>
      <c r="P680" s="17" t="e">
        <f>SUM(J681:M681,R681:AA681)</f>
        <v>#N/A</v>
      </c>
      <c r="Q680" s="17">
        <f t="shared" si="43"/>
        <v>0</v>
      </c>
      <c r="R680" s="38" t="e">
        <f>VLOOKUP((D681),'Pwr Factor'!$A$1:$B$52,2)</f>
        <v>#N/A</v>
      </c>
      <c r="S680" s="50">
        <v>1</v>
      </c>
      <c r="T680" s="12"/>
      <c r="U680" s="12"/>
      <c r="V680" s="12"/>
      <c r="W680" s="12"/>
      <c r="X680" s="12"/>
      <c r="Y680" s="12"/>
      <c r="Z680" s="12"/>
      <c r="AA680" s="12"/>
    </row>
    <row r="681" spans="1:29" x14ac:dyDescent="0.2">
      <c r="A681" s="1" t="s">
        <v>148</v>
      </c>
      <c r="B681" s="103">
        <f>IF(AND('AES Indiana Bill Calc.'!$D$17="PH",'AES Indiana Bill Calc.'!$D$18="Yes 100%",'AES Indiana Bill Calc.'!$D$20="Yes Before 2018"),'AES Indiana Bill Calc.'!$D$19,-1)</f>
        <v>-1</v>
      </c>
      <c r="C681" s="103">
        <f>MAX(E681,$C$667)</f>
        <v>100</v>
      </c>
      <c r="D681" s="103" t="b">
        <f>IF(AND('AES Indiana Bill Calc.'!$D$17="PH",'AES Indiana Bill Calc.'!$D$18="Yes 100%",'AES Indiana Bill Calc.'!$D$20="Yes Before 2018"),'AES Indiana Bill Calc.'!$D$22)</f>
        <v>0</v>
      </c>
      <c r="E681" s="103" t="b">
        <f>IF(AND('AES Indiana Bill Calc.'!$D$17="PH",'AES Indiana Bill Calc.'!$D$18="Yes 100%",'AES Indiana Bill Calc.'!$D$20="Yes Before 2018"),'AES Indiana Bill Calc.'!$D$21)</f>
        <v>0</v>
      </c>
      <c r="F681" s="36" t="s">
        <v>225</v>
      </c>
      <c r="G681" s="138" t="e">
        <f>MAX(I681,P680)</f>
        <v>#N/A</v>
      </c>
      <c r="H681" s="19" t="e">
        <f>IF(ISBLANK(B681),0,+#REF!/B681)</f>
        <v>#REF!</v>
      </c>
      <c r="I681" s="115">
        <f>(E681*120*$K$666)+$J$666</f>
        <v>1250</v>
      </c>
      <c r="J681" s="51">
        <f>IF(ISBLANK(B681),0,+J$666)</f>
        <v>1250</v>
      </c>
      <c r="K681" s="16">
        <f>IF($B681&gt;K680,ROUND(K680*K$666,2),ROUND($B681*K$666,2))</f>
        <v>-0.1</v>
      </c>
      <c r="L681" s="17">
        <f>IF($B681&gt;K680,ROUND((B681-K680)*L$666,2),0)</f>
        <v>0</v>
      </c>
      <c r="M681" s="17">
        <f>IF($C681&gt;L$565,ROUND(($C681-L$565)*M$564,2),0)</f>
        <v>0</v>
      </c>
      <c r="N681" s="17">
        <f>SUM(K681:L681)</f>
        <v>-0.1</v>
      </c>
      <c r="O681" s="17"/>
      <c r="P681" s="12"/>
      <c r="Q681" s="17">
        <f t="shared" si="43"/>
        <v>0</v>
      </c>
      <c r="R681" s="16" t="e">
        <f>ROUND(SUM(K681:M681)*(R680-1),2)</f>
        <v>#N/A</v>
      </c>
      <c r="S681" s="17">
        <f>ROUND($B681*S$666*S680,2)</f>
        <v>0</v>
      </c>
      <c r="T681" s="17">
        <f>ROUND($B681*T$666,2)</f>
        <v>0</v>
      </c>
      <c r="U681" s="17">
        <f>ROUND($B681*U$666,2)</f>
        <v>0</v>
      </c>
      <c r="V681" s="17">
        <f>ROUND($B681*V$658,2)</f>
        <v>0</v>
      </c>
      <c r="W681" s="17">
        <f>ROUND($B681*W$666,2)</f>
        <v>0</v>
      </c>
      <c r="X681" s="17">
        <f>ROUND($B681*X$666,2)</f>
        <v>0</v>
      </c>
      <c r="Y681" s="17">
        <f>ROUND($B681*Y$666,2)</f>
        <v>0</v>
      </c>
      <c r="Z681" s="17">
        <f>ROUND($B681*Z$666,2)</f>
        <v>0</v>
      </c>
      <c r="AA681" s="17">
        <f>ROUND($B681*AA$666,2)</f>
        <v>0</v>
      </c>
      <c r="AB681" s="19">
        <f>SUM(U676:AA676)</f>
        <v>0</v>
      </c>
      <c r="AC681" s="67" t="str">
        <f>+F681</f>
        <v>PH7</v>
      </c>
    </row>
    <row r="682" spans="1:29" x14ac:dyDescent="0.2">
      <c r="A682" s="9"/>
      <c r="B682" s="103">
        <v>-1</v>
      </c>
      <c r="D682" s="8"/>
      <c r="E682" s="9"/>
      <c r="F682" s="36"/>
      <c r="H682" s="12"/>
      <c r="I682" s="19"/>
      <c r="J682" s="12"/>
      <c r="K682" s="43">
        <f>ROUND(C683*K$667,0)</f>
        <v>25000</v>
      </c>
      <c r="L682" s="35">
        <f>+B683-K682</f>
        <v>-25001</v>
      </c>
      <c r="M682" s="12"/>
      <c r="N682" s="12"/>
      <c r="O682" s="12"/>
      <c r="P682" s="17" t="e">
        <f>SUM(J683:M683,R683:AA683)</f>
        <v>#N/A</v>
      </c>
      <c r="Q682" s="17">
        <f t="shared" si="43"/>
        <v>0</v>
      </c>
      <c r="R682" s="38" t="e">
        <f>VLOOKUP((D683),'Pwr Factor'!$A$1:$B$52,2)</f>
        <v>#N/A</v>
      </c>
      <c r="S682" s="50">
        <v>0.5</v>
      </c>
      <c r="T682" s="12"/>
      <c r="U682" s="12"/>
      <c r="V682" s="12"/>
      <c r="W682" s="12"/>
      <c r="X682" s="12"/>
      <c r="Y682" s="12"/>
      <c r="Z682" s="12"/>
      <c r="AA682" s="12"/>
    </row>
    <row r="683" spans="1:29" x14ac:dyDescent="0.2">
      <c r="A683" s="1" t="s">
        <v>149</v>
      </c>
      <c r="B683" s="103">
        <f>IF(AND('AES Indiana Bill Calc.'!$D$17="PH",'AES Indiana Bill Calc.'!$D$18="Yes 50%",'AES Indiana Bill Calc.'!$D$20="Yes Before 2018"),'AES Indiana Bill Calc.'!$D$19,-1)</f>
        <v>-1</v>
      </c>
      <c r="C683" s="103">
        <f>MAX(E683,$C$667)</f>
        <v>100</v>
      </c>
      <c r="D683" s="103" t="b">
        <f>IF(AND('AES Indiana Bill Calc.'!$D$17="PH",'AES Indiana Bill Calc.'!$D$18="Yes 50%",'AES Indiana Bill Calc.'!$D$20="Yes Before 2018"),'AES Indiana Bill Calc.'!$D$22)</f>
        <v>0</v>
      </c>
      <c r="E683" s="103" t="b">
        <f>IF(AND('AES Indiana Bill Calc.'!$D$17="PH",'AES Indiana Bill Calc.'!$D$18="Yes 50%",'AES Indiana Bill Calc.'!$D$20="Yes Before 2018"),'AES Indiana Bill Calc.'!$D$21)</f>
        <v>0</v>
      </c>
      <c r="F683" s="36" t="s">
        <v>225</v>
      </c>
      <c r="G683" s="138" t="e">
        <f>MAX(I683,P682)</f>
        <v>#N/A</v>
      </c>
      <c r="H683" s="19" t="e">
        <f>IF(ISBLANK(B683),0,+#REF!/B683)</f>
        <v>#REF!</v>
      </c>
      <c r="I683" s="115">
        <f>(E683*120*$K$666)+$J$666</f>
        <v>1250</v>
      </c>
      <c r="J683" s="51">
        <f>IF(ISBLANK(B683),0,+J$666)</f>
        <v>1250</v>
      </c>
      <c r="K683" s="16">
        <f>IF($B683&gt;K682,ROUND(K682*K$666,2),ROUND($B683*K$666,2))</f>
        <v>-0.1</v>
      </c>
      <c r="L683" s="17">
        <f>IF($B683&gt;K682,ROUND((B683-K682)*L$666,2),0)</f>
        <v>0</v>
      </c>
      <c r="M683" s="17">
        <f>IF($C683&gt;L$565,ROUND(($C683-L$565)*M$564,2),0)</f>
        <v>0</v>
      </c>
      <c r="N683" s="17">
        <f>SUM(K683:L683)</f>
        <v>-0.1</v>
      </c>
      <c r="O683" s="17"/>
      <c r="P683" s="12"/>
      <c r="Q683" s="17">
        <f t="shared" si="43"/>
        <v>0</v>
      </c>
      <c r="R683" s="16" t="e">
        <f>ROUND(SUM(K683:M683)*(R682-1),2)</f>
        <v>#N/A</v>
      </c>
      <c r="S683" s="17">
        <f>ROUND($B683*S$666*S682,2)</f>
        <v>0</v>
      </c>
      <c r="T683" s="17">
        <f>ROUND($B683*T$666,2)</f>
        <v>0</v>
      </c>
      <c r="U683" s="17">
        <f>ROUND($B683*U$666,2)</f>
        <v>0</v>
      </c>
      <c r="V683" s="17">
        <f>ROUND($B683*V$658,2)</f>
        <v>0</v>
      </c>
      <c r="W683" s="17">
        <f>ROUND($B683*W$666,2)</f>
        <v>0</v>
      </c>
      <c r="X683" s="17">
        <f>ROUND($B683*X$666,2)</f>
        <v>0</v>
      </c>
      <c r="Y683" s="17">
        <f>ROUND($B683*Y$666,2)</f>
        <v>0</v>
      </c>
      <c r="Z683" s="17">
        <f>ROUND($B683*Z$666,2)</f>
        <v>0</v>
      </c>
      <c r="AA683" s="17">
        <f>ROUND($B683*AA$666,2)</f>
        <v>0</v>
      </c>
      <c r="AB683" s="19">
        <f>SUM(U678:AA678)</f>
        <v>0</v>
      </c>
      <c r="AC683" s="67" t="str">
        <f>+F683</f>
        <v>PH7</v>
      </c>
    </row>
    <row r="684" spans="1:29" x14ac:dyDescent="0.2">
      <c r="A684" s="9"/>
      <c r="B684" s="103">
        <v>-1</v>
      </c>
      <c r="D684" s="8"/>
      <c r="E684" s="9"/>
      <c r="F684" s="36"/>
      <c r="H684" s="12"/>
      <c r="I684" s="19"/>
      <c r="J684" s="12"/>
      <c r="K684" s="43">
        <f>ROUND(C685*K$667,0)</f>
        <v>25000</v>
      </c>
      <c r="L684" s="35">
        <f>+B685-K684</f>
        <v>-25001</v>
      </c>
      <c r="M684" s="12"/>
      <c r="N684" s="12"/>
      <c r="O684" s="12"/>
      <c r="P684" s="17" t="e">
        <f>SUM(J685:M685,R685:AA685)</f>
        <v>#N/A</v>
      </c>
      <c r="Q684" s="17">
        <f t="shared" si="43"/>
        <v>0</v>
      </c>
      <c r="R684" s="38" t="e">
        <f>VLOOKUP((D685),'Pwr Factor'!$A$1:$B$52,2)</f>
        <v>#N/A</v>
      </c>
      <c r="S684" s="50">
        <v>0.25</v>
      </c>
      <c r="T684" s="12"/>
      <c r="U684" s="12"/>
      <c r="V684" s="12"/>
      <c r="W684" s="12"/>
      <c r="X684" s="12"/>
      <c r="Y684" s="12"/>
      <c r="Z684" s="12"/>
      <c r="AA684" s="12"/>
    </row>
    <row r="685" spans="1:29" x14ac:dyDescent="0.2">
      <c r="A685" s="1" t="s">
        <v>150</v>
      </c>
      <c r="B685" s="103">
        <f>IF(AND('AES Indiana Bill Calc.'!$D$17="PH",'AES Indiana Bill Calc.'!$D$18="Yes 25%",'AES Indiana Bill Calc.'!$D$20="Yes Before 2018"),'AES Indiana Bill Calc.'!$D$19,-1)</f>
        <v>-1</v>
      </c>
      <c r="C685" s="103">
        <f>MAX(E685,$C$667)</f>
        <v>100</v>
      </c>
      <c r="D685" s="103" t="b">
        <f>IF(AND('AES Indiana Bill Calc.'!$D$17="PH",'AES Indiana Bill Calc.'!$D$18="Yes 25%",'AES Indiana Bill Calc.'!$D$20="Yes Before 2018"),'AES Indiana Bill Calc.'!$D$22)</f>
        <v>0</v>
      </c>
      <c r="E685" s="103" t="b">
        <f>IF(AND('AES Indiana Bill Calc.'!$D$17="PH",'AES Indiana Bill Calc.'!$D$18="Yes 25%",'AES Indiana Bill Calc.'!$D$20="Yes Before 2018"),'AES Indiana Bill Calc.'!$D$21)</f>
        <v>0</v>
      </c>
      <c r="F685" s="36" t="s">
        <v>225</v>
      </c>
      <c r="G685" s="138" t="e">
        <f>MAX(I685,P684)</f>
        <v>#N/A</v>
      </c>
      <c r="H685" s="19" t="e">
        <f>IF(ISBLANK(B685),0,+#REF!/B685)</f>
        <v>#REF!</v>
      </c>
      <c r="I685" s="115">
        <f>(E685*120*$K$666)+$J$666</f>
        <v>1250</v>
      </c>
      <c r="J685" s="51">
        <f>IF(ISBLANK(B685),0,+J$666)</f>
        <v>1250</v>
      </c>
      <c r="K685" s="16">
        <f>IF($B685&gt;K684,ROUND(K684*K$666,2),ROUND($B685*K$666,2))</f>
        <v>-0.1</v>
      </c>
      <c r="L685" s="17">
        <f>IF($B685&gt;K684,ROUND((B685-K684)*L$666,2),0)</f>
        <v>0</v>
      </c>
      <c r="M685" s="17">
        <f>IF($C685&gt;L$565,ROUND(($C685-L$565)*M$564,2),0)</f>
        <v>0</v>
      </c>
      <c r="N685" s="17">
        <f>SUM(K685:L685)</f>
        <v>-0.1</v>
      </c>
      <c r="O685" s="17"/>
      <c r="P685" s="12"/>
      <c r="Q685" s="17">
        <f t="shared" si="43"/>
        <v>0</v>
      </c>
      <c r="R685" s="16" t="e">
        <f>ROUND(SUM(K685:M685)*(R684-1),2)</f>
        <v>#N/A</v>
      </c>
      <c r="S685" s="17">
        <f>ROUND($B685*S$666*S684,2)</f>
        <v>0</v>
      </c>
      <c r="T685" s="17">
        <f>ROUND($B685*T$666,2)</f>
        <v>0</v>
      </c>
      <c r="U685" s="17">
        <f>ROUND($B685*U$666,2)</f>
        <v>0</v>
      </c>
      <c r="V685" s="17">
        <f>ROUND($B685*V$658,2)</f>
        <v>0</v>
      </c>
      <c r="W685" s="17">
        <f>ROUND($B685*W$666,2)</f>
        <v>0</v>
      </c>
      <c r="X685" s="17">
        <f>ROUND($B685*X$666,2)</f>
        <v>0</v>
      </c>
      <c r="Y685" s="17">
        <f>ROUND($B685*Y$666,2)</f>
        <v>0</v>
      </c>
      <c r="Z685" s="17">
        <f>ROUND($B685*Z$666,2)</f>
        <v>0</v>
      </c>
      <c r="AA685" s="17">
        <f>ROUND($B685*AA$666,2)</f>
        <v>0</v>
      </c>
      <c r="AB685" s="19">
        <f>SUM(U680:AA680)</f>
        <v>0</v>
      </c>
      <c r="AC685" s="67" t="str">
        <f>+F685</f>
        <v>PH7</v>
      </c>
    </row>
    <row r="686" spans="1:29" x14ac:dyDescent="0.2">
      <c r="A686" s="9"/>
      <c r="B686" s="103">
        <v>-1</v>
      </c>
      <c r="D686" s="8"/>
      <c r="E686" s="9"/>
      <c r="F686" s="36"/>
      <c r="H686" s="12"/>
      <c r="I686" s="19"/>
      <c r="J686" s="12"/>
      <c r="K686" s="43">
        <f>ROUND(C687*K$667,0)</f>
        <v>25000</v>
      </c>
      <c r="L686" s="35">
        <f>+B687-K686</f>
        <v>-25001</v>
      </c>
      <c r="M686" s="12"/>
      <c r="N686" s="12"/>
      <c r="O686" s="12"/>
      <c r="P686" s="17" t="e">
        <f>SUM(J687:M687,R687:AA687)</f>
        <v>#N/A</v>
      </c>
      <c r="Q686" s="17">
        <f t="shared" si="43"/>
        <v>0</v>
      </c>
      <c r="R686" s="38" t="e">
        <f>VLOOKUP((D687),'Pwr Factor'!$A$1:$B$52,2)</f>
        <v>#N/A</v>
      </c>
      <c r="S686" s="50">
        <v>0.1</v>
      </c>
      <c r="T686" s="12"/>
      <c r="U686" s="12"/>
      <c r="V686" s="12"/>
      <c r="W686" s="12"/>
      <c r="X686" s="12"/>
      <c r="Y686" s="12"/>
      <c r="Z686" s="12"/>
      <c r="AA686" s="12"/>
    </row>
    <row r="687" spans="1:29" x14ac:dyDescent="0.2">
      <c r="A687" s="1" t="s">
        <v>164</v>
      </c>
      <c r="B687" s="103">
        <f>IF(AND('AES Indiana Bill Calc.'!$D$17="PH",'AES Indiana Bill Calc.'!$D$18="Yes 10%",'AES Indiana Bill Calc.'!$D$20="Yes Before 2018"),'AES Indiana Bill Calc.'!$D$19,-1)</f>
        <v>-1</v>
      </c>
      <c r="C687" s="103">
        <f>MAX(E687,$C$667)</f>
        <v>100</v>
      </c>
      <c r="D687" s="103" t="b">
        <f>IF(AND('AES Indiana Bill Calc.'!$D$17="PH",'AES Indiana Bill Calc.'!$D$18="Yes 10%",'AES Indiana Bill Calc.'!$D$20="Yes Before 2018"),'AES Indiana Bill Calc.'!$D$22)</f>
        <v>0</v>
      </c>
      <c r="E687" s="103" t="b">
        <f>IF(AND('AES Indiana Bill Calc.'!$D$17="PH",'AES Indiana Bill Calc.'!$D$18="Yes 10%",'AES Indiana Bill Calc.'!$D$20="Yes Before 2018"),'AES Indiana Bill Calc.'!$D$21)</f>
        <v>0</v>
      </c>
      <c r="F687" s="36" t="s">
        <v>225</v>
      </c>
      <c r="G687" s="138" t="e">
        <f>MAX(I687,P686)</f>
        <v>#N/A</v>
      </c>
      <c r="H687" s="19" t="e">
        <f>IF(ISBLANK(B687),0,+#REF!/B687)</f>
        <v>#REF!</v>
      </c>
      <c r="I687" s="115">
        <f>(E687*120*$K$666)+$J$666</f>
        <v>1250</v>
      </c>
      <c r="J687" s="51">
        <f>IF(ISBLANK(B687),0,+J$666)</f>
        <v>1250</v>
      </c>
      <c r="K687" s="16">
        <f>IF($B687&gt;K686,ROUND(K686*K$666,2),ROUND($B687*K$666,2))</f>
        <v>-0.1</v>
      </c>
      <c r="L687" s="17">
        <f>IF($B687&gt;K686,ROUND((B687-K686)*L$666,2),0)</f>
        <v>0</v>
      </c>
      <c r="M687" s="17">
        <f>IF($C687&gt;L$565,ROUND(($C687-L$565)*M$564,2),0)</f>
        <v>0</v>
      </c>
      <c r="N687" s="17">
        <f>SUM(K687:L687)</f>
        <v>-0.1</v>
      </c>
      <c r="O687" s="17"/>
      <c r="P687" s="12"/>
      <c r="Q687" s="17">
        <f t="shared" si="43"/>
        <v>0</v>
      </c>
      <c r="R687" s="16" t="e">
        <f>ROUND(SUM(K687:M687)*(R686-1),2)</f>
        <v>#N/A</v>
      </c>
      <c r="S687" s="17">
        <f>ROUND($B687*S$666*S686,2)</f>
        <v>0</v>
      </c>
      <c r="T687" s="17">
        <f>ROUND($B687*T$666,2)</f>
        <v>0</v>
      </c>
      <c r="U687" s="17">
        <f>ROUND($B687*U$666,2)</f>
        <v>0</v>
      </c>
      <c r="V687" s="17">
        <f>ROUND($B687*V$658,2)</f>
        <v>0</v>
      </c>
      <c r="W687" s="17">
        <f>ROUND($B687*W$666,2)</f>
        <v>0</v>
      </c>
      <c r="X687" s="17">
        <f>ROUND($B687*X$666,2)</f>
        <v>0</v>
      </c>
      <c r="Y687" s="17">
        <f>ROUND($B687*Y$666,2)</f>
        <v>0</v>
      </c>
      <c r="Z687" s="17">
        <f>ROUND($B687*Z$666,2)</f>
        <v>0</v>
      </c>
      <c r="AA687" s="17">
        <f>ROUND($B687*AA$666,2)</f>
        <v>0</v>
      </c>
      <c r="AB687" s="19">
        <f>SUM(U682:AA682)</f>
        <v>0</v>
      </c>
      <c r="AC687" s="67" t="str">
        <f>+F687</f>
        <v>PH7</v>
      </c>
    </row>
    <row r="688" spans="1:29" x14ac:dyDescent="0.2">
      <c r="A688" s="9"/>
      <c r="B688" s="103">
        <v>-1</v>
      </c>
      <c r="D688" s="8"/>
      <c r="E688" s="9"/>
      <c r="F688" s="36"/>
      <c r="H688" s="12"/>
      <c r="I688" s="19"/>
      <c r="J688" s="12"/>
      <c r="K688" s="43">
        <f>ROUND(C689*K$667,0)</f>
        <v>25000</v>
      </c>
      <c r="L688" s="35">
        <f>+B689-K688</f>
        <v>-25001</v>
      </c>
      <c r="M688" s="12"/>
      <c r="N688" s="12"/>
      <c r="O688" s="12"/>
      <c r="P688" s="17" t="e">
        <f>SUM(J689:M689,R689:AA689)</f>
        <v>#N/A</v>
      </c>
      <c r="Q688" s="17">
        <f t="shared" si="43"/>
        <v>0</v>
      </c>
      <c r="R688" s="38" t="e">
        <f>VLOOKUP((D689),'Pwr Factor'!$A$1:$B$52,2)</f>
        <v>#N/A</v>
      </c>
      <c r="S688" s="50">
        <v>0</v>
      </c>
      <c r="T688" s="12"/>
      <c r="U688" s="12"/>
      <c r="V688" s="12"/>
      <c r="W688" s="12"/>
      <c r="X688" s="12"/>
      <c r="Y688" s="12"/>
      <c r="Z688" s="12"/>
      <c r="AA688" s="12"/>
    </row>
    <row r="689" spans="1:230" x14ac:dyDescent="0.2">
      <c r="A689" s="1" t="s">
        <v>147</v>
      </c>
      <c r="B689" s="103">
        <f>IF(AND('AES Indiana Bill Calc.'!$D$17="PH",'AES Indiana Bill Calc.'!$D$18="No",'AES Indiana Bill Calc.'!$D$20="Yes Before 2018"),'AES Indiana Bill Calc.'!$D$19,-1)</f>
        <v>-1</v>
      </c>
      <c r="C689" s="103">
        <f>MAX(E689,$C$667)</f>
        <v>100</v>
      </c>
      <c r="D689" s="103" t="b">
        <f>IF(AND('AES Indiana Bill Calc.'!$D$17="PH",'AES Indiana Bill Calc.'!$D$18="No",'AES Indiana Bill Calc.'!$D$20="Yes Before 2018"),'AES Indiana Bill Calc.'!$D$22)</f>
        <v>0</v>
      </c>
      <c r="E689" s="103" t="b">
        <f>IF(AND('AES Indiana Bill Calc.'!$D$17="PH",'AES Indiana Bill Calc.'!$D$18="No",'AES Indiana Bill Calc.'!$D$20="Yes Before 2018"),'AES Indiana Bill Calc.'!$D$21)</f>
        <v>0</v>
      </c>
      <c r="F689" s="36" t="s">
        <v>225</v>
      </c>
      <c r="G689" s="138" t="e">
        <f>MAX(I689,P688)</f>
        <v>#N/A</v>
      </c>
      <c r="H689" s="19" t="e">
        <f>IF(ISBLANK(B689),0,+#REF!/B689)</f>
        <v>#REF!</v>
      </c>
      <c r="I689" s="115">
        <f>(E689*120*$K$666)+$J$666</f>
        <v>1250</v>
      </c>
      <c r="J689" s="51">
        <f>IF(ISBLANK(B689),0,+J$666)</f>
        <v>1250</v>
      </c>
      <c r="K689" s="16">
        <f>IF($B689&gt;K688,ROUND(K688*K$666,2),ROUND($B689*K$666,2))</f>
        <v>-0.1</v>
      </c>
      <c r="L689" s="17">
        <f>IF($B689&gt;K688,ROUND((B689-K688)*L$666,2),0)</f>
        <v>0</v>
      </c>
      <c r="M689" s="17">
        <f>IF($C689&gt;L$565,ROUND(($C689-L$565)*M$564,2),0)</f>
        <v>0</v>
      </c>
      <c r="N689" s="17">
        <f>SUM(K689:L689)</f>
        <v>-0.1</v>
      </c>
      <c r="O689" s="17"/>
      <c r="P689" s="12"/>
      <c r="Q689" s="17">
        <f t="shared" si="43"/>
        <v>0</v>
      </c>
      <c r="R689" s="16" t="e">
        <f>ROUND(SUM(K689:M689)*(R688-1),2)</f>
        <v>#N/A</v>
      </c>
      <c r="S689" s="17">
        <f>ROUND($B689*S$666*S688,2)</f>
        <v>0</v>
      </c>
      <c r="T689" s="17">
        <f>ROUND($B689*T$666,2)</f>
        <v>0</v>
      </c>
      <c r="U689" s="17">
        <f>ROUND($B689*U$666,2)</f>
        <v>0</v>
      </c>
      <c r="V689" s="17">
        <f>ROUND($B689*V$658,2)</f>
        <v>0</v>
      </c>
      <c r="W689" s="17">
        <f>ROUND($B689*W$666,2)</f>
        <v>0</v>
      </c>
      <c r="X689" s="17">
        <f>ROUND($B689*X$666,2)</f>
        <v>0</v>
      </c>
      <c r="Y689" s="17">
        <f>ROUND($B689*Y$666,2)</f>
        <v>0</v>
      </c>
      <c r="Z689" s="17">
        <f>ROUND($B689*Z$666,2)</f>
        <v>0</v>
      </c>
      <c r="AA689" s="17">
        <f>ROUND($B689*AA$666,2)</f>
        <v>0</v>
      </c>
      <c r="AB689" s="19">
        <f>SUM(U684:AA684)</f>
        <v>0</v>
      </c>
      <c r="AC689" s="67" t="str">
        <f>+F689</f>
        <v>PH7</v>
      </c>
    </row>
    <row r="690" spans="1:230" x14ac:dyDescent="0.2">
      <c r="A690" s="9"/>
      <c r="B690" s="103">
        <v>-1</v>
      </c>
      <c r="D690" s="8"/>
      <c r="E690" s="9"/>
      <c r="F690" s="36"/>
      <c r="H690" s="12"/>
      <c r="I690" s="19"/>
      <c r="J690" s="12"/>
      <c r="K690" s="43">
        <f>ROUND(C691*K$667,0)</f>
        <v>25000</v>
      </c>
      <c r="L690" s="35">
        <f>+B691-K690</f>
        <v>-25001</v>
      </c>
      <c r="M690" s="12"/>
      <c r="N690" s="12"/>
      <c r="O690" s="12"/>
      <c r="P690" s="17" t="e">
        <f>SUM(J691:M691,R691:AA691)</f>
        <v>#N/A</v>
      </c>
      <c r="Q690" s="17">
        <f t="shared" si="43"/>
        <v>0</v>
      </c>
      <c r="R690" s="38" t="e">
        <f>VLOOKUP((D691),'Pwr Factor'!$A$1:$B$52,2)</f>
        <v>#N/A</v>
      </c>
      <c r="S690" s="50">
        <v>1</v>
      </c>
      <c r="T690" s="12"/>
      <c r="U690" s="12"/>
      <c r="V690" s="12"/>
      <c r="W690" s="12"/>
      <c r="X690" s="12"/>
      <c r="Y690" s="12"/>
      <c r="Z690" s="12"/>
      <c r="AA690" s="12"/>
    </row>
    <row r="691" spans="1:230" x14ac:dyDescent="0.2">
      <c r="A691" s="1" t="s">
        <v>148</v>
      </c>
      <c r="B691" s="103">
        <f>IF(AND('AES Indiana Bill Calc.'!$D$17="PH",'AES Indiana Bill Calc.'!$D$18="Yes 100%",'AES Indiana Bill Calc.'!$D$20="Yes 2018"),'AES Indiana Bill Calc.'!$D$19,-1)</f>
        <v>-1</v>
      </c>
      <c r="C691" s="103">
        <f>MAX(E691,$C$667)</f>
        <v>100</v>
      </c>
      <c r="D691" s="103" t="b">
        <f>IF(AND('AES Indiana Bill Calc.'!$D$17="PH",'AES Indiana Bill Calc.'!$D$18="Yes 100%",'AES Indiana Bill Calc.'!$D$20="Yes 2018"),'AES Indiana Bill Calc.'!$D$22)</f>
        <v>0</v>
      </c>
      <c r="E691" s="103" t="b">
        <f>IF(AND('AES Indiana Bill Calc.'!$D$17="PH",'AES Indiana Bill Calc.'!$D$18="Yes 100%",'AES Indiana Bill Calc.'!$D$20="Yes 2018"),'AES Indiana Bill Calc.'!$D$21)</f>
        <v>0</v>
      </c>
      <c r="F691" s="36" t="s">
        <v>226</v>
      </c>
      <c r="G691" s="138" t="e">
        <f>MAX(I691,P690)</f>
        <v>#N/A</v>
      </c>
      <c r="H691" s="19" t="e">
        <f>IF(ISBLANK(B691),0,+#REF!/B691)</f>
        <v>#REF!</v>
      </c>
      <c r="I691" s="115">
        <f>(E691*120*$K$666)+$J$666</f>
        <v>1250</v>
      </c>
      <c r="J691" s="51">
        <f>IF(ISBLANK(B691),0,+J$666)</f>
        <v>1250</v>
      </c>
      <c r="K691" s="16">
        <f>IF($B691&gt;K690,ROUND(K690*K$666,2),ROUND($B691*K$666,2))</f>
        <v>-0.1</v>
      </c>
      <c r="L691" s="17">
        <f>IF($B691&gt;K690,ROUND((B691-K690)*L$666,2),0)</f>
        <v>0</v>
      </c>
      <c r="M691" s="17">
        <f>IF($C691&gt;L$565,ROUND(($C691-L$565)*M$564,2),0)</f>
        <v>0</v>
      </c>
      <c r="N691" s="17">
        <f>SUM(K691:L691)</f>
        <v>-0.1</v>
      </c>
      <c r="O691" s="17"/>
      <c r="P691" s="12"/>
      <c r="Q691" s="17">
        <f t="shared" si="43"/>
        <v>0</v>
      </c>
      <c r="R691" s="16" t="e">
        <f>ROUND(SUM(K691:M691)*(R690-1),2)</f>
        <v>#N/A</v>
      </c>
      <c r="S691" s="17">
        <f>ROUND($B691*S$666*S690,2)</f>
        <v>0</v>
      </c>
      <c r="T691" s="17">
        <f>ROUND($B691*T$666,2)</f>
        <v>0</v>
      </c>
      <c r="U691" s="17">
        <f>ROUND($B691*U$666,2)</f>
        <v>0</v>
      </c>
      <c r="V691" s="17">
        <f>ROUND($B691*V$659,2)</f>
        <v>0</v>
      </c>
      <c r="W691" s="17">
        <f>ROUND($B691*W$666,2)</f>
        <v>0</v>
      </c>
      <c r="X691" s="17">
        <f>ROUND($B691*X$666,2)</f>
        <v>0</v>
      </c>
      <c r="Y691" s="17">
        <f>ROUND($B691*Y$666,2)</f>
        <v>0</v>
      </c>
      <c r="Z691" s="17">
        <f>ROUND($B691*Z$666,2)</f>
        <v>0</v>
      </c>
      <c r="AA691" s="17">
        <f>ROUND($B691*AA$666,2)</f>
        <v>0</v>
      </c>
      <c r="AB691" s="19">
        <f>SUM(U686:AA686)</f>
        <v>0</v>
      </c>
      <c r="AC691" s="67" t="str">
        <f>+F691</f>
        <v>PH8</v>
      </c>
    </row>
    <row r="692" spans="1:230" x14ac:dyDescent="0.2">
      <c r="A692" s="9"/>
      <c r="B692" s="103">
        <v>-1</v>
      </c>
      <c r="D692" s="8"/>
      <c r="E692" s="9"/>
      <c r="F692" s="36"/>
      <c r="H692" s="12"/>
      <c r="I692" s="19"/>
      <c r="J692" s="12"/>
      <c r="K692" s="43">
        <f>ROUND(C693*K$667,0)</f>
        <v>25000</v>
      </c>
      <c r="L692" s="35">
        <f>+B693-K692</f>
        <v>-25001</v>
      </c>
      <c r="M692" s="12"/>
      <c r="N692" s="12"/>
      <c r="O692" s="12"/>
      <c r="P692" s="17" t="e">
        <f>SUM(J693:M693,R693:AA693)</f>
        <v>#N/A</v>
      </c>
      <c r="Q692" s="17">
        <f t="shared" si="43"/>
        <v>0</v>
      </c>
      <c r="R692" s="38" t="e">
        <f>VLOOKUP((D693),'Pwr Factor'!$A$1:$B$52,2)</f>
        <v>#N/A</v>
      </c>
      <c r="S692" s="50">
        <v>0.5</v>
      </c>
      <c r="T692" s="12"/>
      <c r="U692" s="12"/>
      <c r="V692" s="12"/>
      <c r="W692" s="12"/>
      <c r="X692" s="12"/>
      <c r="Y692" s="12"/>
      <c r="Z692" s="12"/>
      <c r="AA692" s="12"/>
    </row>
    <row r="693" spans="1:230" x14ac:dyDescent="0.2">
      <c r="A693" s="1" t="s">
        <v>149</v>
      </c>
      <c r="B693" s="103">
        <f>IF(AND('AES Indiana Bill Calc.'!$D$17="PH",'AES Indiana Bill Calc.'!$D$18="Yes 50%",'AES Indiana Bill Calc.'!$D$20="Yes 2018"),'AES Indiana Bill Calc.'!$D$19,-1)</f>
        <v>-1</v>
      </c>
      <c r="C693" s="103">
        <f>MAX(E693,$C$667)</f>
        <v>100</v>
      </c>
      <c r="D693" s="103" t="b">
        <f>IF(AND('AES Indiana Bill Calc.'!$D$17="PH",'AES Indiana Bill Calc.'!$D$18="Yes 50%",'AES Indiana Bill Calc.'!$D$20="Yes 2018"),'AES Indiana Bill Calc.'!$D$22)</f>
        <v>0</v>
      </c>
      <c r="E693" s="103" t="b">
        <f>IF(AND('AES Indiana Bill Calc.'!$D$17="PH",'AES Indiana Bill Calc.'!$D$18="Yes 50%",'AES Indiana Bill Calc.'!$D$20="Yes 2018"),'AES Indiana Bill Calc.'!$D$21)</f>
        <v>0</v>
      </c>
      <c r="F693" s="36" t="s">
        <v>226</v>
      </c>
      <c r="G693" s="138" t="e">
        <f>MAX(I693,P692)</f>
        <v>#N/A</v>
      </c>
      <c r="H693" s="19" t="e">
        <f>IF(ISBLANK(B693),0,+#REF!/B693)</f>
        <v>#REF!</v>
      </c>
      <c r="I693" s="115">
        <f>(E693*120*$K$666)+$J$666</f>
        <v>1250</v>
      </c>
      <c r="J693" s="51">
        <f>IF(ISBLANK(B693),0,+J$666)</f>
        <v>1250</v>
      </c>
      <c r="K693" s="16">
        <f>IF($B693&gt;K692,ROUND(K692*K$666,2),ROUND($B693*K$666,2))</f>
        <v>-0.1</v>
      </c>
      <c r="L693" s="17">
        <f>IF($B693&gt;K692,ROUND((B693-K692)*L$666,2),0)</f>
        <v>0</v>
      </c>
      <c r="M693" s="17">
        <f>IF($C693&gt;L$565,ROUND(($C693-L$565)*M$564,2),0)</f>
        <v>0</v>
      </c>
      <c r="N693" s="17">
        <f>SUM(K693:L693)</f>
        <v>-0.1</v>
      </c>
      <c r="O693" s="17"/>
      <c r="P693" s="12"/>
      <c r="Q693" s="17">
        <f t="shared" si="43"/>
        <v>0</v>
      </c>
      <c r="R693" s="16" t="e">
        <f>ROUND(SUM(K693:M693)*(R692-1),2)</f>
        <v>#N/A</v>
      </c>
      <c r="S693" s="17">
        <f>ROUND($B693*S$666*S692,2)</f>
        <v>0</v>
      </c>
      <c r="T693" s="17">
        <f>ROUND($B693*T$666,2)</f>
        <v>0</v>
      </c>
      <c r="U693" s="17">
        <f>ROUND($B693*U$666,2)</f>
        <v>0</v>
      </c>
      <c r="V693" s="17">
        <f>ROUND($B693*V$659,2)</f>
        <v>0</v>
      </c>
      <c r="W693" s="17">
        <f>ROUND($B693*W$666,2)</f>
        <v>0</v>
      </c>
      <c r="X693" s="17">
        <f>ROUND($B693*X$666,2)</f>
        <v>0</v>
      </c>
      <c r="Y693" s="17">
        <f>ROUND($B693*Y$666,2)</f>
        <v>0</v>
      </c>
      <c r="Z693" s="17">
        <f>ROUND($B693*Z$666,2)</f>
        <v>0</v>
      </c>
      <c r="AA693" s="17">
        <f>ROUND($B693*AA$666,2)</f>
        <v>0</v>
      </c>
      <c r="AB693" s="19">
        <f>SUM(U688:AA688)</f>
        <v>0</v>
      </c>
      <c r="AC693" s="67" t="str">
        <f>+F693</f>
        <v>PH8</v>
      </c>
    </row>
    <row r="694" spans="1:230" x14ac:dyDescent="0.2">
      <c r="A694" s="9"/>
      <c r="B694" s="103">
        <v>-1</v>
      </c>
      <c r="D694" s="8"/>
      <c r="E694" s="9"/>
      <c r="F694" s="36"/>
      <c r="H694" s="12"/>
      <c r="I694" s="19"/>
      <c r="J694" s="12"/>
      <c r="K694" s="43">
        <f>ROUND(C695*K$667,0)</f>
        <v>25000</v>
      </c>
      <c r="L694" s="35">
        <f>+B695-K694</f>
        <v>-25001</v>
      </c>
      <c r="M694" s="12"/>
      <c r="N694" s="12"/>
      <c r="O694" s="12"/>
      <c r="P694" s="17" t="e">
        <f>SUM(J695:M695,R695:AA695)</f>
        <v>#N/A</v>
      </c>
      <c r="Q694" s="17">
        <f t="shared" si="43"/>
        <v>0</v>
      </c>
      <c r="R694" s="38" t="e">
        <f>VLOOKUP((D695),'Pwr Factor'!$A$1:$B$52,2)</f>
        <v>#N/A</v>
      </c>
      <c r="S694" s="50">
        <v>0.25</v>
      </c>
      <c r="T694" s="12"/>
      <c r="U694" s="12"/>
      <c r="V694" s="12"/>
      <c r="W694" s="12"/>
      <c r="X694" s="12"/>
      <c r="Y694" s="12"/>
      <c r="Z694" s="12"/>
      <c r="AA694" s="12"/>
    </row>
    <row r="695" spans="1:230" x14ac:dyDescent="0.2">
      <c r="A695" s="1" t="s">
        <v>150</v>
      </c>
      <c r="B695" s="103">
        <f>IF(AND('AES Indiana Bill Calc.'!$D$17="PH",'AES Indiana Bill Calc.'!$D$18="Yes 25%",'AES Indiana Bill Calc.'!$D$20="Yes 2018"),'AES Indiana Bill Calc.'!$D$19,-1)</f>
        <v>-1</v>
      </c>
      <c r="C695" s="103">
        <f>MAX(E695,$C$667)</f>
        <v>100</v>
      </c>
      <c r="D695" s="103" t="b">
        <f>IF(AND('AES Indiana Bill Calc.'!$D$17="PH",'AES Indiana Bill Calc.'!$D$18="Yes 25%",'AES Indiana Bill Calc.'!$D$20="Yes 2018"),'AES Indiana Bill Calc.'!$D$22)</f>
        <v>0</v>
      </c>
      <c r="E695" s="103" t="b">
        <f>IF(AND('AES Indiana Bill Calc.'!$D$17="PH",'AES Indiana Bill Calc.'!$D$18="Yes 25%",'AES Indiana Bill Calc.'!$D$20="Yes 2018"),'AES Indiana Bill Calc.'!$D$21)</f>
        <v>0</v>
      </c>
      <c r="F695" s="36" t="s">
        <v>226</v>
      </c>
      <c r="G695" s="138" t="e">
        <f>MAX(I695,P694)</f>
        <v>#N/A</v>
      </c>
      <c r="H695" s="19" t="e">
        <f>IF(ISBLANK(B695),0,+#REF!/B695)</f>
        <v>#REF!</v>
      </c>
      <c r="I695" s="115">
        <f>(E695*120*$K$666)+$J$666</f>
        <v>1250</v>
      </c>
      <c r="J695" s="51">
        <f>IF(ISBLANK(B695),0,+J$666)</f>
        <v>1250</v>
      </c>
      <c r="K695" s="16">
        <f>IF($B695&gt;K694,ROUND(K694*K$666,2),ROUND($B695*K$666,2))</f>
        <v>-0.1</v>
      </c>
      <c r="L695" s="17">
        <f>IF($B695&gt;K694,ROUND((B695-K694)*L$666,2),0)</f>
        <v>0</v>
      </c>
      <c r="M695" s="17">
        <f>IF($C695&gt;L$565,ROUND(($C695-L$565)*M$564,2),0)</f>
        <v>0</v>
      </c>
      <c r="N695" s="17">
        <f>SUM(K695:L695)</f>
        <v>-0.1</v>
      </c>
      <c r="O695" s="17"/>
      <c r="P695" s="12"/>
      <c r="Q695" s="17">
        <f t="shared" si="43"/>
        <v>0</v>
      </c>
      <c r="R695" s="16" t="e">
        <f>ROUND(SUM(K695:M695)*(R694-1),2)</f>
        <v>#N/A</v>
      </c>
      <c r="S695" s="17">
        <f>ROUND($B695*S$666*S694,2)</f>
        <v>0</v>
      </c>
      <c r="T695" s="17">
        <f>ROUND($B695*T$666,2)</f>
        <v>0</v>
      </c>
      <c r="U695" s="17">
        <f>ROUND($B695*U$666,2)</f>
        <v>0</v>
      </c>
      <c r="V695" s="17">
        <f>ROUND($B695*V$659,2)</f>
        <v>0</v>
      </c>
      <c r="W695" s="17">
        <f>ROUND($B695*W$666,2)</f>
        <v>0</v>
      </c>
      <c r="X695" s="17">
        <f>ROUND($B695*X$666,2)</f>
        <v>0</v>
      </c>
      <c r="Y695" s="17">
        <f>ROUND($B695*Y$666,2)</f>
        <v>0</v>
      </c>
      <c r="Z695" s="17">
        <f>ROUND($B695*Z$666,2)</f>
        <v>0</v>
      </c>
      <c r="AA695" s="17">
        <f>ROUND($B695*AA$666,2)</f>
        <v>0</v>
      </c>
      <c r="AB695" s="19">
        <f>SUM(U690:AA690)</f>
        <v>0</v>
      </c>
      <c r="AC695" s="67" t="str">
        <f>+F695</f>
        <v>PH8</v>
      </c>
    </row>
    <row r="696" spans="1:230" x14ac:dyDescent="0.2">
      <c r="A696" s="9"/>
      <c r="B696" s="103">
        <v>-1</v>
      </c>
      <c r="D696" s="8"/>
      <c r="E696" s="9"/>
      <c r="F696" s="36"/>
      <c r="H696" s="12"/>
      <c r="I696" s="19"/>
      <c r="J696" s="12"/>
      <c r="K696" s="43">
        <f>ROUND(C697*K$667,0)</f>
        <v>25000</v>
      </c>
      <c r="L696" s="35">
        <f>+B697-K696</f>
        <v>-25001</v>
      </c>
      <c r="M696" s="12"/>
      <c r="N696" s="12"/>
      <c r="O696" s="12"/>
      <c r="P696" s="17" t="e">
        <f>SUM(J697:M697,R697:AA697)</f>
        <v>#N/A</v>
      </c>
      <c r="Q696" s="17">
        <f t="shared" si="43"/>
        <v>0</v>
      </c>
      <c r="R696" s="38" t="e">
        <f>VLOOKUP((D697),'Pwr Factor'!$A$1:$B$52,2)</f>
        <v>#N/A</v>
      </c>
      <c r="S696" s="50">
        <v>0.1</v>
      </c>
      <c r="T696" s="12"/>
      <c r="U696" s="12"/>
      <c r="V696" s="12"/>
      <c r="W696" s="12"/>
      <c r="X696" s="12"/>
      <c r="Y696" s="12"/>
      <c r="Z696" s="12"/>
      <c r="AA696" s="12"/>
    </row>
    <row r="697" spans="1:230" x14ac:dyDescent="0.2">
      <c r="A697" s="1" t="s">
        <v>164</v>
      </c>
      <c r="B697" s="103">
        <f>IF(AND('AES Indiana Bill Calc.'!$D$17="PH",'AES Indiana Bill Calc.'!$D$18="Yes 10%",'AES Indiana Bill Calc.'!$D$20="Yes 2018"),'AES Indiana Bill Calc.'!$D$19,-1)</f>
        <v>-1</v>
      </c>
      <c r="C697" s="103">
        <f>MAX(E697,$C$667)</f>
        <v>100</v>
      </c>
      <c r="D697" s="103" t="b">
        <f>IF(AND('AES Indiana Bill Calc.'!$D$17="PH",'AES Indiana Bill Calc.'!$D$18="Yes 10%",'AES Indiana Bill Calc.'!$D$20="Yes 2018"),'AES Indiana Bill Calc.'!$D$22)</f>
        <v>0</v>
      </c>
      <c r="E697" s="103" t="b">
        <f>IF(AND('AES Indiana Bill Calc.'!$D$17="PH",'AES Indiana Bill Calc.'!$D$18="Yes 10%",'AES Indiana Bill Calc.'!$D$20="Yes 2018"),'AES Indiana Bill Calc.'!$D$21)</f>
        <v>0</v>
      </c>
      <c r="F697" s="36" t="s">
        <v>226</v>
      </c>
      <c r="G697" s="138" t="e">
        <f>MAX(I697,P696)</f>
        <v>#N/A</v>
      </c>
      <c r="H697" s="19" t="e">
        <f>IF(ISBLANK(B697),0,+#REF!/B697)</f>
        <v>#REF!</v>
      </c>
      <c r="I697" s="115">
        <f>(E697*120*$K$666)+$J$666</f>
        <v>1250</v>
      </c>
      <c r="J697" s="51">
        <f>IF(ISBLANK(B697),0,+J$666)</f>
        <v>1250</v>
      </c>
      <c r="K697" s="16">
        <f>IF($B697&gt;K696,ROUND(K696*K$666,2),ROUND($B697*K$666,2))</f>
        <v>-0.1</v>
      </c>
      <c r="L697" s="17">
        <f>IF($B697&gt;K696,ROUND((B697-K696)*L$666,2),0)</f>
        <v>0</v>
      </c>
      <c r="M697" s="17">
        <f>IF($C697&gt;L$565,ROUND(($C697-L$565)*M$564,2),0)</f>
        <v>0</v>
      </c>
      <c r="N697" s="17">
        <f>SUM(K697:L697)</f>
        <v>-0.1</v>
      </c>
      <c r="O697" s="17"/>
      <c r="P697" s="12"/>
      <c r="Q697" s="17">
        <f t="shared" si="43"/>
        <v>0</v>
      </c>
      <c r="R697" s="16" t="e">
        <f>ROUND(SUM(K697:M697)*(R696-1),2)</f>
        <v>#N/A</v>
      </c>
      <c r="S697" s="17">
        <f>ROUND($B697*S$666*S696,2)</f>
        <v>0</v>
      </c>
      <c r="T697" s="17">
        <f>ROUND($B697*T$666,2)</f>
        <v>0</v>
      </c>
      <c r="U697" s="17">
        <f>ROUND($B697*U$666,2)</f>
        <v>0</v>
      </c>
      <c r="V697" s="17">
        <f>ROUND($B697*V$659,2)</f>
        <v>0</v>
      </c>
      <c r="W697" s="17">
        <f>ROUND($B697*W$666,2)</f>
        <v>0</v>
      </c>
      <c r="X697" s="17">
        <f>ROUND($B697*X$666,2)</f>
        <v>0</v>
      </c>
      <c r="Y697" s="17">
        <f>ROUND($B697*Y$666,2)</f>
        <v>0</v>
      </c>
      <c r="Z697" s="17">
        <f>ROUND($B697*Z$666,2)</f>
        <v>0</v>
      </c>
      <c r="AA697" s="17">
        <f>ROUND($B697*AA$666,2)</f>
        <v>0</v>
      </c>
      <c r="AB697" s="19">
        <f>SUM(U692:AA692)</f>
        <v>0</v>
      </c>
      <c r="AC697" s="67" t="str">
        <f>+F697</f>
        <v>PH8</v>
      </c>
    </row>
    <row r="698" spans="1:230" x14ac:dyDescent="0.2">
      <c r="A698" s="9"/>
      <c r="B698" s="103">
        <v>-1</v>
      </c>
      <c r="D698" s="8"/>
      <c r="E698" s="9"/>
      <c r="F698" s="36"/>
      <c r="H698" s="12"/>
      <c r="I698" s="19"/>
      <c r="J698" s="12"/>
      <c r="K698" s="43">
        <f>ROUND(C699*K$667,0)</f>
        <v>25000</v>
      </c>
      <c r="L698" s="35">
        <f>+B699-K698</f>
        <v>-25001</v>
      </c>
      <c r="M698" s="12"/>
      <c r="N698" s="12"/>
      <c r="O698" s="12"/>
      <c r="P698" s="17" t="e">
        <f>SUM(J699:M699,R699:AA699)</f>
        <v>#N/A</v>
      </c>
      <c r="Q698" s="17">
        <f t="shared" si="43"/>
        <v>0</v>
      </c>
      <c r="R698" s="38" t="e">
        <f>VLOOKUP((D699),'Pwr Factor'!$A$1:$B$52,2)</f>
        <v>#N/A</v>
      </c>
      <c r="S698" s="50">
        <v>0</v>
      </c>
      <c r="T698" s="12"/>
      <c r="U698" s="12"/>
      <c r="V698" s="12"/>
      <c r="W698" s="12"/>
      <c r="X698" s="12"/>
      <c r="Y698" s="12"/>
      <c r="Z698" s="12"/>
      <c r="AA698" s="12"/>
    </row>
    <row r="699" spans="1:230" x14ac:dyDescent="0.2">
      <c r="A699" s="1" t="s">
        <v>147</v>
      </c>
      <c r="B699" s="103">
        <f>IF(AND('AES Indiana Bill Calc.'!$D$17="PH",'AES Indiana Bill Calc.'!$D$18="No",'AES Indiana Bill Calc.'!$D$20="Yes 2018"),'AES Indiana Bill Calc.'!$D$19,-1)</f>
        <v>-1</v>
      </c>
      <c r="C699" s="103">
        <f>MAX(E699,$C$667)</f>
        <v>100</v>
      </c>
      <c r="D699" s="103" t="b">
        <f>IF(AND('AES Indiana Bill Calc.'!$D$17="PH",'AES Indiana Bill Calc.'!$D$18="No",'AES Indiana Bill Calc.'!$D$20="Yes 2018"),'AES Indiana Bill Calc.'!$D$22)</f>
        <v>0</v>
      </c>
      <c r="E699" s="103" t="b">
        <f>IF(AND('AES Indiana Bill Calc.'!$D$17="PH",'AES Indiana Bill Calc.'!$D$18="No",'AES Indiana Bill Calc.'!$D$20="Yes 2018"),'AES Indiana Bill Calc.'!$D$21)</f>
        <v>0</v>
      </c>
      <c r="F699" s="36" t="s">
        <v>226</v>
      </c>
      <c r="G699" s="138" t="e">
        <f>MAX(I699,P698)</f>
        <v>#N/A</v>
      </c>
      <c r="H699" s="19" t="e">
        <f>IF(ISBLANK(B699),0,+#REF!/B699)</f>
        <v>#REF!</v>
      </c>
      <c r="I699" s="115">
        <f>(E699*120*$K$666)+$J$666</f>
        <v>1250</v>
      </c>
      <c r="J699" s="51">
        <f>IF(ISBLANK(B699),0,+J$666)</f>
        <v>1250</v>
      </c>
      <c r="K699" s="16">
        <f>IF($B699&gt;K698,ROUND(K698*K$666,2),ROUND($B699*K$666,2))</f>
        <v>-0.1</v>
      </c>
      <c r="L699" s="17">
        <f>IF($B699&gt;K698,ROUND((B699-K698)*L$666,2),0)</f>
        <v>0</v>
      </c>
      <c r="M699" s="17">
        <f>IF($C699&gt;L$565,ROUND(($C699-L$565)*M$564,2),0)</f>
        <v>0</v>
      </c>
      <c r="N699" s="17">
        <f>SUM(K699:L699)</f>
        <v>-0.1</v>
      </c>
      <c r="O699" s="17"/>
      <c r="P699" s="12"/>
      <c r="Q699" s="17">
        <f t="shared" si="43"/>
        <v>0</v>
      </c>
      <c r="R699" s="16" t="e">
        <f>ROUND(SUM(K699:M699)*(R698-1),2)</f>
        <v>#N/A</v>
      </c>
      <c r="S699" s="17">
        <f>ROUND($B699*S$666*S698,2)</f>
        <v>0</v>
      </c>
      <c r="T699" s="17">
        <f>ROUND($B699*T$666,2)</f>
        <v>0</v>
      </c>
      <c r="U699" s="17">
        <f>ROUND($B699*U$666,2)</f>
        <v>0</v>
      </c>
      <c r="V699" s="17">
        <f>ROUND($B699*V$659,2)</f>
        <v>0</v>
      </c>
      <c r="W699" s="17">
        <f>ROUND($B699*W$666,2)</f>
        <v>0</v>
      </c>
      <c r="X699" s="17">
        <f>ROUND($B699*X$666,2)</f>
        <v>0</v>
      </c>
      <c r="Y699" s="17">
        <f>ROUND($B699*Y$666,2)</f>
        <v>0</v>
      </c>
      <c r="Z699" s="17">
        <f>ROUND($B699*Z$666,2)</f>
        <v>0</v>
      </c>
      <c r="AA699" s="17">
        <f>ROUND($B699*AA$666,2)</f>
        <v>0</v>
      </c>
      <c r="AB699" s="19">
        <f>SUM(U694:AA694)</f>
        <v>0</v>
      </c>
      <c r="AC699" s="67" t="str">
        <f>+F699</f>
        <v>PH8</v>
      </c>
    </row>
    <row r="700" spans="1:230" x14ac:dyDescent="0.2">
      <c r="A700" s="9"/>
      <c r="B700" s="103">
        <v>-1</v>
      </c>
      <c r="D700" s="8"/>
      <c r="E700" s="9"/>
      <c r="F700" s="36"/>
      <c r="H700" s="12"/>
      <c r="I700" s="19"/>
      <c r="J700" s="12"/>
      <c r="K700" s="43">
        <f>ROUND(C701*K$667,0)</f>
        <v>25000</v>
      </c>
      <c r="L700" s="35">
        <f>+B701-K700</f>
        <v>-25001</v>
      </c>
      <c r="M700" s="12"/>
      <c r="N700" s="12"/>
      <c r="O700" s="12"/>
      <c r="P700" s="17" t="e">
        <f>SUM(J701:M701,R701:AA701)</f>
        <v>#N/A</v>
      </c>
      <c r="Q700" s="17">
        <f t="shared" si="43"/>
        <v>0</v>
      </c>
      <c r="R700" s="38" t="e">
        <f>VLOOKUP((D701),'Pwr Factor'!$A$1:$B$52,2)</f>
        <v>#N/A</v>
      </c>
      <c r="S700" s="50">
        <v>1</v>
      </c>
      <c r="T700" s="12"/>
      <c r="U700" s="12"/>
      <c r="V700" s="12"/>
      <c r="W700" s="12"/>
      <c r="X700" s="12"/>
      <c r="Y700" s="12"/>
      <c r="Z700" s="12"/>
      <c r="AA700" s="12"/>
    </row>
    <row r="701" spans="1:230" s="21" customFormat="1" ht="13.5" thickBot="1" x14ac:dyDescent="0.25">
      <c r="A701" s="1" t="s">
        <v>148</v>
      </c>
      <c r="B701" s="103">
        <f>IF(AND('AES Indiana Bill Calc.'!$D$17="PH",'AES Indiana Bill Calc.'!$D$18="Yes 100%",'AES Indiana Bill Calc.'!$D$20="Yes 2019"),'AES Indiana Bill Calc.'!$D$19,-1)</f>
        <v>-1</v>
      </c>
      <c r="C701" s="103">
        <f>MAX(E701,$C$667)</f>
        <v>100</v>
      </c>
      <c r="D701" s="103" t="b">
        <f>IF(AND('AES Indiana Bill Calc.'!$D$17="PH",'AES Indiana Bill Calc.'!$D$18="Yes 100%",'AES Indiana Bill Calc.'!$D$20="Yes 2019"),'AES Indiana Bill Calc.'!$D$22)</f>
        <v>0</v>
      </c>
      <c r="E701" s="103" t="b">
        <f>IF(AND('AES Indiana Bill Calc.'!$D$17="PH",'AES Indiana Bill Calc.'!$D$18="Yes 100%",'AES Indiana Bill Calc.'!$D$20="Yes 2019"),'AES Indiana Bill Calc.'!$D$21)</f>
        <v>0</v>
      </c>
      <c r="F701" s="36" t="s">
        <v>227</v>
      </c>
      <c r="G701" s="138" t="e">
        <f>MAX(I701,P700)</f>
        <v>#N/A</v>
      </c>
      <c r="H701" s="19" t="e">
        <f>IF(ISBLANK(B701),0,+#REF!/B701)</f>
        <v>#REF!</v>
      </c>
      <c r="I701" s="115">
        <f>(E701*120*$K$666)+$J$666</f>
        <v>1250</v>
      </c>
      <c r="J701" s="51">
        <f>IF(ISBLANK(B701),0,+J$666)</f>
        <v>1250</v>
      </c>
      <c r="K701" s="16">
        <f>IF($B701&gt;K700,ROUND(K700*K$666,2),ROUND($B701*K$666,2))</f>
        <v>-0.1</v>
      </c>
      <c r="L701" s="17">
        <f>IF($B701&gt;K700,ROUND((B701-K700)*L$666,2),0)</f>
        <v>0</v>
      </c>
      <c r="M701" s="17">
        <f>IF($C701&gt;L$565,ROUND(($C701-L$565)*M$564,2),0)</f>
        <v>0</v>
      </c>
      <c r="N701" s="17">
        <f>SUM(K701:L701)</f>
        <v>-0.1</v>
      </c>
      <c r="O701" s="17"/>
      <c r="P701" s="12"/>
      <c r="Q701" s="17">
        <f t="shared" si="43"/>
        <v>0</v>
      </c>
      <c r="R701" s="16" t="e">
        <f>ROUND(SUM(K701:M701)*(R700-1),2)</f>
        <v>#N/A</v>
      </c>
      <c r="S701" s="17">
        <f>ROUND($B701*S$666*S700,2)</f>
        <v>0</v>
      </c>
      <c r="T701" s="17">
        <f>ROUND($B701*T$666,2)</f>
        <v>0</v>
      </c>
      <c r="U701" s="17">
        <f>ROUND($B701*U$666,2)</f>
        <v>0</v>
      </c>
      <c r="V701" s="17">
        <f>ROUND($B701*V$660,2)</f>
        <v>0</v>
      </c>
      <c r="W701" s="17">
        <f>ROUND($B701*W$666,2)</f>
        <v>0</v>
      </c>
      <c r="X701" s="17">
        <f>ROUND($B701*X$666,2)</f>
        <v>0</v>
      </c>
      <c r="Y701" s="17">
        <f>ROUND($B701*Y$666,2)</f>
        <v>0</v>
      </c>
      <c r="Z701" s="17">
        <f>ROUND($B701*Z$666,2)</f>
        <v>0</v>
      </c>
      <c r="AA701" s="17">
        <f>ROUND($B701*AA$666,2)</f>
        <v>0</v>
      </c>
      <c r="AB701" s="19">
        <f>SUM(U696:AA696)</f>
        <v>0</v>
      </c>
      <c r="AC701" s="67" t="str">
        <f>+F701</f>
        <v>PH9</v>
      </c>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row>
    <row r="702" spans="1:230" x14ac:dyDescent="0.2">
      <c r="A702" s="9"/>
      <c r="B702" s="103">
        <v>-1</v>
      </c>
      <c r="D702" s="8"/>
      <c r="E702" s="9"/>
      <c r="F702" s="36"/>
      <c r="H702" s="12"/>
      <c r="I702" s="19"/>
      <c r="J702" s="12"/>
      <c r="K702" s="43">
        <f>ROUND(C703*K$667,0)</f>
        <v>25000</v>
      </c>
      <c r="L702" s="35">
        <f>+B703-K702</f>
        <v>-25001</v>
      </c>
      <c r="M702" s="12"/>
      <c r="N702" s="12"/>
      <c r="O702" s="12"/>
      <c r="P702" s="17" t="e">
        <f>SUM(J703:M703,R703:AA703)</f>
        <v>#N/A</v>
      </c>
      <c r="Q702" s="17">
        <f t="shared" si="43"/>
        <v>0</v>
      </c>
      <c r="R702" s="38" t="e">
        <f>VLOOKUP((D703),'Pwr Factor'!$A$1:$B$52,2)</f>
        <v>#N/A</v>
      </c>
      <c r="S702" s="50">
        <v>0.5</v>
      </c>
      <c r="T702" s="12"/>
      <c r="U702" s="12"/>
      <c r="V702" s="12"/>
      <c r="W702" s="12"/>
      <c r="X702" s="12"/>
      <c r="Y702" s="12"/>
      <c r="Z702" s="12"/>
      <c r="AA702" s="12"/>
    </row>
    <row r="703" spans="1:230" x14ac:dyDescent="0.2">
      <c r="A703" s="1" t="s">
        <v>149</v>
      </c>
      <c r="B703" s="103">
        <f>IF(AND('AES Indiana Bill Calc.'!$D$17="PH",'AES Indiana Bill Calc.'!$D$18="Yes 50%",'AES Indiana Bill Calc.'!$D$20="Yes 2019"),'AES Indiana Bill Calc.'!$D$19,-1)</f>
        <v>-1</v>
      </c>
      <c r="C703" s="103">
        <f>MAX(E703,$C$667)</f>
        <v>100</v>
      </c>
      <c r="D703" s="103" t="b">
        <f>IF(AND('AES Indiana Bill Calc.'!$D$17="PH",'AES Indiana Bill Calc.'!$D$18="Yes 50%",'AES Indiana Bill Calc.'!$D$20="Yes 2019"),'AES Indiana Bill Calc.'!$D$22)</f>
        <v>0</v>
      </c>
      <c r="E703" s="103" t="b">
        <f>IF(AND('AES Indiana Bill Calc.'!$D$17="PH",'AES Indiana Bill Calc.'!$D$18="Yes 50%",'AES Indiana Bill Calc.'!$D$20="Yes 2019"),'AES Indiana Bill Calc.'!$D$21)</f>
        <v>0</v>
      </c>
      <c r="F703" s="36" t="s">
        <v>227</v>
      </c>
      <c r="G703" s="138" t="e">
        <f>MAX(I703,P702)</f>
        <v>#N/A</v>
      </c>
      <c r="H703" s="19" t="e">
        <f>IF(ISBLANK(B703),0,+#REF!/B703)</f>
        <v>#REF!</v>
      </c>
      <c r="I703" s="115">
        <f>(E703*120*$K$666)+$J$666</f>
        <v>1250</v>
      </c>
      <c r="J703" s="51">
        <f>IF(ISBLANK(B703),0,+J$666)</f>
        <v>1250</v>
      </c>
      <c r="K703" s="16">
        <f>IF($B703&gt;K702,ROUND(K702*K$666,2),ROUND($B703*K$666,2))</f>
        <v>-0.1</v>
      </c>
      <c r="L703" s="17">
        <f>IF($B703&gt;K702,ROUND((B703-K702)*L$666,2),0)</f>
        <v>0</v>
      </c>
      <c r="M703" s="17">
        <f>IF($C703&gt;L$565,ROUND(($C703-L$565)*M$564,2),0)</f>
        <v>0</v>
      </c>
      <c r="N703" s="17">
        <f>SUM(K703:L703)</f>
        <v>-0.1</v>
      </c>
      <c r="O703" s="17"/>
      <c r="P703" s="12"/>
      <c r="Q703" s="17">
        <f t="shared" si="43"/>
        <v>0</v>
      </c>
      <c r="R703" s="16" t="e">
        <f>ROUND(SUM(K703:M703)*(R702-1),2)</f>
        <v>#N/A</v>
      </c>
      <c r="S703" s="17">
        <f>ROUND($B703*S$666*S702,2)</f>
        <v>0</v>
      </c>
      <c r="T703" s="17">
        <f>ROUND($B703*T$666,2)</f>
        <v>0</v>
      </c>
      <c r="U703" s="17">
        <f>ROUND($B703*U$666,2)</f>
        <v>0</v>
      </c>
      <c r="V703" s="17">
        <f>ROUND($B703*V$660,2)</f>
        <v>0</v>
      </c>
      <c r="W703" s="17">
        <f>ROUND($B703*W$666,2)</f>
        <v>0</v>
      </c>
      <c r="X703" s="17">
        <f>ROUND($B703*X$666,2)</f>
        <v>0</v>
      </c>
      <c r="Y703" s="17">
        <f>ROUND($B703*Y$666,2)</f>
        <v>0</v>
      </c>
      <c r="Z703" s="17">
        <f>ROUND($B703*Z$666,2)</f>
        <v>0</v>
      </c>
      <c r="AA703" s="17">
        <f>ROUND($B703*AA$666,2)</f>
        <v>0</v>
      </c>
      <c r="AB703" s="19">
        <f>SUM(U698:AA698)</f>
        <v>0</v>
      </c>
      <c r="AC703" s="67" t="str">
        <f>+F703</f>
        <v>PH9</v>
      </c>
    </row>
    <row r="704" spans="1:230" x14ac:dyDescent="0.2">
      <c r="A704" s="9"/>
      <c r="B704" s="103">
        <v>-1</v>
      </c>
      <c r="D704" s="8"/>
      <c r="E704" s="9"/>
      <c r="F704" s="36"/>
      <c r="H704" s="12"/>
      <c r="I704" s="19"/>
      <c r="J704" s="12"/>
      <c r="K704" s="43">
        <f>ROUND(C705*K$667,0)</f>
        <v>25000</v>
      </c>
      <c r="L704" s="35">
        <f>+B705-K704</f>
        <v>-25001</v>
      </c>
      <c r="M704" s="12"/>
      <c r="N704" s="12"/>
      <c r="O704" s="12"/>
      <c r="P704" s="17" t="e">
        <f>SUM(J705:M705,R705:AA705)</f>
        <v>#N/A</v>
      </c>
      <c r="Q704" s="17">
        <f t="shared" si="43"/>
        <v>0</v>
      </c>
      <c r="R704" s="38" t="e">
        <f>VLOOKUP((D705),'Pwr Factor'!$A$1:$B$52,2)</f>
        <v>#N/A</v>
      </c>
      <c r="S704" s="50">
        <v>0.25</v>
      </c>
      <c r="T704" s="12"/>
      <c r="U704" s="12"/>
      <c r="V704" s="12"/>
      <c r="W704" s="12"/>
      <c r="X704" s="12"/>
      <c r="Y704" s="12"/>
      <c r="Z704" s="12"/>
      <c r="AA704" s="12"/>
    </row>
    <row r="705" spans="1:29" x14ac:dyDescent="0.2">
      <c r="A705" s="1" t="s">
        <v>150</v>
      </c>
      <c r="B705" s="103">
        <f>IF(AND('AES Indiana Bill Calc.'!$D$17="PH",'AES Indiana Bill Calc.'!$D$18="Yes 25%",'AES Indiana Bill Calc.'!$D$20="Yes 2019"),'AES Indiana Bill Calc.'!$D$19,-1)</f>
        <v>-1</v>
      </c>
      <c r="C705" s="103">
        <f>MAX(E705,$C$667)</f>
        <v>100</v>
      </c>
      <c r="D705" s="103" t="b">
        <f>IF(AND('AES Indiana Bill Calc.'!$D$17="PH",'AES Indiana Bill Calc.'!$D$18="Yes 25%",'AES Indiana Bill Calc.'!$D$20="Yes 2019"),'AES Indiana Bill Calc.'!$D$22)</f>
        <v>0</v>
      </c>
      <c r="E705" s="103" t="b">
        <f>IF(AND('AES Indiana Bill Calc.'!$D$17="PH",'AES Indiana Bill Calc.'!$D$18="Yes 25%",'AES Indiana Bill Calc.'!$D$20="Yes 2019"),'AES Indiana Bill Calc.'!$D$21)</f>
        <v>0</v>
      </c>
      <c r="F705" s="36" t="s">
        <v>227</v>
      </c>
      <c r="G705" s="138" t="e">
        <f>MAX(I705,P704)</f>
        <v>#N/A</v>
      </c>
      <c r="H705" s="19" t="e">
        <f>IF(ISBLANK(B705),0,+#REF!/B705)</f>
        <v>#REF!</v>
      </c>
      <c r="I705" s="115">
        <f>(E705*120*$K$666)+$J$666</f>
        <v>1250</v>
      </c>
      <c r="J705" s="51">
        <f>IF(ISBLANK(B705),0,+J$666)</f>
        <v>1250</v>
      </c>
      <c r="K705" s="16">
        <f>IF($B705&gt;K704,ROUND(K704*K$666,2),ROUND($B705*K$666,2))</f>
        <v>-0.1</v>
      </c>
      <c r="L705" s="17">
        <f>IF($B705&gt;K704,ROUND((B705-K704)*L$666,2),0)</f>
        <v>0</v>
      </c>
      <c r="M705" s="17">
        <f>IF($C705&gt;L$565,ROUND(($C705-L$565)*M$564,2),0)</f>
        <v>0</v>
      </c>
      <c r="N705" s="17">
        <f>SUM(K705:L705)</f>
        <v>-0.1</v>
      </c>
      <c r="O705" s="17"/>
      <c r="P705" s="12"/>
      <c r="Q705" s="17">
        <f>M705</f>
        <v>0</v>
      </c>
      <c r="R705" s="16" t="e">
        <f>ROUND(SUM(K705:M705)*(R704-1),2)</f>
        <v>#N/A</v>
      </c>
      <c r="S705" s="17">
        <f>ROUND($B705*S$666*S704,2)</f>
        <v>0</v>
      </c>
      <c r="T705" s="17">
        <f>ROUND($B705*T$666,2)</f>
        <v>0</v>
      </c>
      <c r="U705" s="17">
        <f>ROUND($B705*U$666,2)</f>
        <v>0</v>
      </c>
      <c r="V705" s="17">
        <f>ROUND($B705*V$660,2)</f>
        <v>0</v>
      </c>
      <c r="W705" s="17">
        <f>ROUND($B705*W$666,2)</f>
        <v>0</v>
      </c>
      <c r="X705" s="17">
        <f>ROUND($B705*X$666,2)</f>
        <v>0</v>
      </c>
      <c r="Y705" s="17">
        <f>ROUND($B705*Y$666,2)</f>
        <v>0</v>
      </c>
      <c r="Z705" s="17">
        <f>ROUND($B705*Z$666,2)</f>
        <v>0</v>
      </c>
      <c r="AA705" s="17">
        <f>ROUND($B705*AA$666,2)</f>
        <v>0</v>
      </c>
      <c r="AB705" s="19">
        <f>SUM(U700:AA700)</f>
        <v>0</v>
      </c>
      <c r="AC705" s="67" t="str">
        <f>+F705</f>
        <v>PH9</v>
      </c>
    </row>
    <row r="706" spans="1:29" x14ac:dyDescent="0.2">
      <c r="A706" s="9"/>
      <c r="B706" s="103">
        <v>-1</v>
      </c>
      <c r="D706" s="8"/>
      <c r="E706" s="9"/>
      <c r="F706" s="36"/>
      <c r="H706" s="12"/>
      <c r="I706" s="19"/>
      <c r="J706" s="12"/>
      <c r="K706" s="43">
        <f>ROUND(C707*K$667,0)</f>
        <v>25000</v>
      </c>
      <c r="L706" s="35">
        <f>+B707-K706</f>
        <v>-25001</v>
      </c>
      <c r="M706" s="12"/>
      <c r="N706" s="12"/>
      <c r="O706" s="12"/>
      <c r="P706" s="17" t="e">
        <f>SUM(J707:M707,R707:AA707)</f>
        <v>#N/A</v>
      </c>
      <c r="Q706" s="17">
        <f t="shared" si="43"/>
        <v>0</v>
      </c>
      <c r="R706" s="38" t="e">
        <f>VLOOKUP((D707),'Pwr Factor'!$A$1:$B$52,2)</f>
        <v>#N/A</v>
      </c>
      <c r="S706" s="50">
        <v>0.1</v>
      </c>
      <c r="T706" s="12"/>
      <c r="U706" s="12"/>
      <c r="V706" s="12"/>
      <c r="W706" s="12"/>
      <c r="X706" s="12"/>
      <c r="Y706" s="12"/>
      <c r="Z706" s="12"/>
      <c r="AA706" s="12"/>
    </row>
    <row r="707" spans="1:29" x14ac:dyDescent="0.2">
      <c r="A707" s="1" t="s">
        <v>164</v>
      </c>
      <c r="B707" s="103">
        <f>IF(AND('AES Indiana Bill Calc.'!$D$17="PH",'AES Indiana Bill Calc.'!$D$18="Yes 10%",'AES Indiana Bill Calc.'!$D$20="Yes 2019"),'AES Indiana Bill Calc.'!$D$19,-1)</f>
        <v>-1</v>
      </c>
      <c r="C707" s="103">
        <f>MAX(E707,$C$667)</f>
        <v>100</v>
      </c>
      <c r="D707" s="103" t="b">
        <f>IF(AND('AES Indiana Bill Calc.'!$D$17="PH",'AES Indiana Bill Calc.'!$D$18="Yes 10%",'AES Indiana Bill Calc.'!$D$20="Yes 2019"),'AES Indiana Bill Calc.'!$D$22)</f>
        <v>0</v>
      </c>
      <c r="E707" s="103" t="b">
        <f>IF(AND('AES Indiana Bill Calc.'!$D$17="PH",'AES Indiana Bill Calc.'!$D$18="Yes 10%",'AES Indiana Bill Calc.'!$D$20="Yes 2019"),'AES Indiana Bill Calc.'!$D$21)</f>
        <v>0</v>
      </c>
      <c r="F707" s="36" t="s">
        <v>227</v>
      </c>
      <c r="G707" s="138" t="e">
        <f>MAX(I707,P706)</f>
        <v>#N/A</v>
      </c>
      <c r="H707" s="19" t="e">
        <f>IF(ISBLANK(B707),0,+#REF!/B707)</f>
        <v>#REF!</v>
      </c>
      <c r="I707" s="115">
        <f>(E707*120*$K$666)+$J$666</f>
        <v>1250</v>
      </c>
      <c r="J707" s="51">
        <f>IF(ISBLANK(B707),0,+J$666)</f>
        <v>1250</v>
      </c>
      <c r="K707" s="16">
        <f>IF($B707&gt;K706,ROUND(K706*K$666,2),ROUND($B707*K$666,2))</f>
        <v>-0.1</v>
      </c>
      <c r="L707" s="17">
        <f>IF($B707&gt;K706,ROUND((B707-K706)*L$666,2),0)</f>
        <v>0</v>
      </c>
      <c r="M707" s="17">
        <f>IF($C707&gt;L$565,ROUND(($C707-L$565)*M$564,2),0)</f>
        <v>0</v>
      </c>
      <c r="N707" s="17">
        <f>SUM(K707:L707)</f>
        <v>-0.1</v>
      </c>
      <c r="O707" s="17"/>
      <c r="P707" s="12"/>
      <c r="Q707" s="17">
        <f t="shared" si="43"/>
        <v>0</v>
      </c>
      <c r="R707" s="16" t="e">
        <f>ROUND(SUM(K707:M707)*(R706-1),2)</f>
        <v>#N/A</v>
      </c>
      <c r="S707" s="17">
        <f>ROUND($B707*S$666*S706,2)</f>
        <v>0</v>
      </c>
      <c r="T707" s="17">
        <f>ROUND($B707*T$666,2)</f>
        <v>0</v>
      </c>
      <c r="U707" s="17">
        <f>ROUND($B707*U$666,2)</f>
        <v>0</v>
      </c>
      <c r="V707" s="17">
        <f>ROUND($B707*V$660,2)</f>
        <v>0</v>
      </c>
      <c r="W707" s="17">
        <f>ROUND($B707*W$666,2)</f>
        <v>0</v>
      </c>
      <c r="X707" s="17">
        <f>ROUND($B707*X$666,2)</f>
        <v>0</v>
      </c>
      <c r="Y707" s="17">
        <f>ROUND($B707*Y$666,2)</f>
        <v>0</v>
      </c>
      <c r="Z707" s="17">
        <f>ROUND($B707*Z$666,2)</f>
        <v>0</v>
      </c>
      <c r="AA707" s="17">
        <f>ROUND($B707*AA$666,2)</f>
        <v>0</v>
      </c>
      <c r="AB707" s="19">
        <f>SUM(U702:AA702)</f>
        <v>0</v>
      </c>
      <c r="AC707" s="67" t="str">
        <f>+F707</f>
        <v>PH9</v>
      </c>
    </row>
    <row r="708" spans="1:29" x14ac:dyDescent="0.2">
      <c r="A708" s="9"/>
      <c r="B708" s="103">
        <v>-1</v>
      </c>
      <c r="D708" s="8"/>
      <c r="E708" s="9"/>
      <c r="F708" s="36"/>
      <c r="H708" s="12"/>
      <c r="I708" s="19"/>
      <c r="J708" s="12"/>
      <c r="K708" s="43">
        <f>ROUND(C709*K$667,0)</f>
        <v>25000</v>
      </c>
      <c r="L708" s="35">
        <f>+B709-K708</f>
        <v>-25001</v>
      </c>
      <c r="M708" s="12"/>
      <c r="N708" s="12"/>
      <c r="O708" s="12"/>
      <c r="P708" s="17" t="e">
        <f>SUM(J709:M709,R709:AA709)</f>
        <v>#N/A</v>
      </c>
      <c r="Q708" s="17">
        <f t="shared" si="43"/>
        <v>0</v>
      </c>
      <c r="R708" s="38" t="e">
        <f>VLOOKUP((D709),'Pwr Factor'!$A$1:$B$52,2)</f>
        <v>#N/A</v>
      </c>
      <c r="S708" s="50">
        <v>0</v>
      </c>
      <c r="T708" s="12"/>
      <c r="U708" s="12"/>
      <c r="V708" s="12"/>
      <c r="W708" s="12"/>
      <c r="X708" s="12"/>
      <c r="Y708" s="12"/>
      <c r="Z708" s="12"/>
      <c r="AA708" s="12"/>
    </row>
    <row r="709" spans="1:29" x14ac:dyDescent="0.2">
      <c r="A709" s="1" t="s">
        <v>147</v>
      </c>
      <c r="B709" s="103">
        <f>IF(AND('AES Indiana Bill Calc.'!$D$17="PH",'AES Indiana Bill Calc.'!$D$18="Yes 100%",'AES Indiana Bill Calc.'!$D$20="Yes 2019"),'AES Indiana Bill Calc.'!$D$19,-1)</f>
        <v>-1</v>
      </c>
      <c r="C709" s="103">
        <f>MAX(E709,$C$667)</f>
        <v>100</v>
      </c>
      <c r="D709" s="103" t="b">
        <f>IF(AND('AES Indiana Bill Calc.'!$D$17="PH",'AES Indiana Bill Calc.'!$D$18="Yes 100%",'AES Indiana Bill Calc.'!$D$20="Yes 2019"),'AES Indiana Bill Calc.'!$D$22)</f>
        <v>0</v>
      </c>
      <c r="E709" s="103" t="b">
        <f>IF(AND('AES Indiana Bill Calc.'!$D$17="PH",'AES Indiana Bill Calc.'!$D$18="Yes 100%",'AES Indiana Bill Calc.'!$D$20="Yes 2019"),'AES Indiana Bill Calc.'!$D$21)</f>
        <v>0</v>
      </c>
      <c r="F709" s="36" t="s">
        <v>227</v>
      </c>
      <c r="G709" s="138" t="e">
        <f>MAX(I709,P708)</f>
        <v>#N/A</v>
      </c>
      <c r="H709" s="19" t="e">
        <f>IF(ISBLANK(B709),0,+#REF!/B709)</f>
        <v>#REF!</v>
      </c>
      <c r="I709" s="115">
        <f>(E709*120*$K$666)+$J$666</f>
        <v>1250</v>
      </c>
      <c r="J709" s="51">
        <f>IF(ISBLANK(B709),0,+J$666)</f>
        <v>1250</v>
      </c>
      <c r="K709" s="16">
        <f>IF($B709&gt;K708,ROUND(K708*K$666,2),ROUND($B709*K$666,2))</f>
        <v>-0.1</v>
      </c>
      <c r="L709" s="17">
        <f>IF($B709&gt;K708,ROUND((B709-K708)*L$666,2),0)</f>
        <v>0</v>
      </c>
      <c r="M709" s="17">
        <f>IF($C709&gt;L$565,ROUND(($C709-L$565)*M$564,2),0)</f>
        <v>0</v>
      </c>
      <c r="N709" s="17">
        <f>SUM(K709:L709)</f>
        <v>-0.1</v>
      </c>
      <c r="O709" s="17"/>
      <c r="P709" s="12"/>
      <c r="Q709" s="17">
        <f t="shared" si="43"/>
        <v>0</v>
      </c>
      <c r="R709" s="16" t="e">
        <f>ROUND(SUM(K709:M709)*(R708-1),2)</f>
        <v>#N/A</v>
      </c>
      <c r="S709" s="17">
        <f>ROUND($B709*S$666*S708,2)</f>
        <v>0</v>
      </c>
      <c r="T709" s="17">
        <f>ROUND($B709*T$666,2)</f>
        <v>0</v>
      </c>
      <c r="U709" s="17">
        <f>ROUND($B709*U$666,2)</f>
        <v>0</v>
      </c>
      <c r="V709" s="17">
        <f>ROUND($B709*V$660,2)</f>
        <v>0</v>
      </c>
      <c r="W709" s="17">
        <f>ROUND($B709*W$666,2)</f>
        <v>0</v>
      </c>
      <c r="X709" s="17">
        <f>ROUND($B709*X$666,2)</f>
        <v>0</v>
      </c>
      <c r="Y709" s="17">
        <f>ROUND($B709*Y$666,2)</f>
        <v>0</v>
      </c>
      <c r="Z709" s="17">
        <f>ROUND($B709*Z$666,2)</f>
        <v>0</v>
      </c>
      <c r="AA709" s="17">
        <f>ROUND($B709*AA$666,2)</f>
        <v>0</v>
      </c>
      <c r="AB709" s="19">
        <f>SUM(U704:AA704)</f>
        <v>0</v>
      </c>
      <c r="AC709" s="67" t="str">
        <f>+F709</f>
        <v>PH9</v>
      </c>
    </row>
    <row r="710" spans="1:29" x14ac:dyDescent="0.2">
      <c r="A710" s="9"/>
      <c r="B710" s="103">
        <v>-1</v>
      </c>
      <c r="D710" s="8"/>
      <c r="E710" s="9"/>
      <c r="F710" s="36"/>
      <c r="H710" s="12"/>
      <c r="I710" s="19"/>
      <c r="J710" s="12"/>
      <c r="K710" s="43">
        <f>ROUND(C711*K$667,0)</f>
        <v>25000</v>
      </c>
      <c r="L710" s="35">
        <f>+B711-K710</f>
        <v>-25001</v>
      </c>
      <c r="M710" s="12"/>
      <c r="N710" s="12"/>
      <c r="O710" s="12"/>
      <c r="P710" s="17" t="e">
        <f>SUM(J711:M711,R711:AA711)</f>
        <v>#N/A</v>
      </c>
      <c r="Q710" s="17">
        <f t="shared" si="43"/>
        <v>0</v>
      </c>
      <c r="R710" s="38" t="e">
        <f>VLOOKUP((D711),'Pwr Factor'!$A$1:$B$52,2)</f>
        <v>#N/A</v>
      </c>
      <c r="S710" s="50">
        <v>1</v>
      </c>
      <c r="T710" s="12"/>
      <c r="U710" s="12"/>
      <c r="V710" s="12"/>
      <c r="W710" s="12"/>
      <c r="X710" s="12"/>
      <c r="Y710" s="12"/>
      <c r="Z710" s="12"/>
      <c r="AA710" s="12"/>
    </row>
    <row r="711" spans="1:29" x14ac:dyDescent="0.2">
      <c r="A711" s="1" t="s">
        <v>148</v>
      </c>
      <c r="B711" s="103">
        <f>IF(AND('AES Indiana Bill Calc.'!$D$17="PH",'AES Indiana Bill Calc.'!$D$18="Yes 100%",'AES Indiana Bill Calc.'!$D$20="Yes 2020"),'AES Indiana Bill Calc.'!$D$19,-1)</f>
        <v>-1</v>
      </c>
      <c r="C711" s="103">
        <f>MAX(E711,$C$667)</f>
        <v>100</v>
      </c>
      <c r="D711" s="103" t="b">
        <f>IF(AND('AES Indiana Bill Calc.'!$D$17="PH",'AES Indiana Bill Calc.'!$D$18="Yes 100%",'AES Indiana Bill Calc.'!$D$20="Yes 2020"),'AES Indiana Bill Calc.'!$D$22)</f>
        <v>0</v>
      </c>
      <c r="E711" s="103" t="b">
        <f>IF(AND('AES Indiana Bill Calc.'!$D$17="PH",'AES Indiana Bill Calc.'!$D$18="Yes 100%",'AES Indiana Bill Calc.'!$D$20="Yes 2020"),'AES Indiana Bill Calc.'!$D$21)</f>
        <v>0</v>
      </c>
      <c r="F711" s="36" t="s">
        <v>228</v>
      </c>
      <c r="G711" s="138" t="e">
        <f>MAX(I711,P710)</f>
        <v>#N/A</v>
      </c>
      <c r="H711" s="19" t="e">
        <f>IF(ISBLANK(B711),0,+#REF!/B711)</f>
        <v>#REF!</v>
      </c>
      <c r="I711" s="115">
        <f>(E711*120*$K$666)+$J$666</f>
        <v>1250</v>
      </c>
      <c r="J711" s="51">
        <f>IF(ISBLANK(B711),0,+J$666)</f>
        <v>1250</v>
      </c>
      <c r="K711" s="16">
        <f>IF($B711&gt;K710,ROUND(K710*K$666,2),ROUND($B711*K$666,2))</f>
        <v>-0.1</v>
      </c>
      <c r="L711" s="17">
        <f>IF($B711&gt;K710,ROUND((B711-K710)*L$666,2),0)</f>
        <v>0</v>
      </c>
      <c r="M711" s="17">
        <f>IF($C711&gt;L$565,ROUND(($C711-L$565)*M$564,2),0)</f>
        <v>0</v>
      </c>
      <c r="N711" s="17">
        <f>SUM(K711:L711)</f>
        <v>-0.1</v>
      </c>
      <c r="O711" s="17"/>
      <c r="P711" s="12"/>
      <c r="Q711" s="17">
        <f t="shared" si="43"/>
        <v>0</v>
      </c>
      <c r="R711" s="16" t="e">
        <f>ROUND(SUM(K711:M711)*(R710-1),2)</f>
        <v>#N/A</v>
      </c>
      <c r="S711" s="17">
        <f>ROUND($B711*S$666*S710,2)</f>
        <v>0</v>
      </c>
      <c r="T711" s="17">
        <f>ROUND($B711*T$666,2)</f>
        <v>0</v>
      </c>
      <c r="U711" s="17">
        <f>ROUND($B711*U$666,2)</f>
        <v>0</v>
      </c>
      <c r="V711" s="17">
        <f>ROUND($B711*V$661,2)</f>
        <v>0</v>
      </c>
      <c r="W711" s="17">
        <f>ROUND($B711*W$666,2)</f>
        <v>0</v>
      </c>
      <c r="X711" s="17">
        <f>ROUND($B711*X$666,2)</f>
        <v>0</v>
      </c>
      <c r="Y711" s="17">
        <f>ROUND($B711*Y$666,2)</f>
        <v>0</v>
      </c>
      <c r="Z711" s="17">
        <f>ROUND($B711*Z$666,2)</f>
        <v>0</v>
      </c>
      <c r="AA711" s="17">
        <f>ROUND($B711*AA$666,2)</f>
        <v>0</v>
      </c>
      <c r="AB711" s="19">
        <f>SUM(U706:AA706)</f>
        <v>0</v>
      </c>
      <c r="AC711" s="67" t="str">
        <f>+F711</f>
        <v>PH0</v>
      </c>
    </row>
    <row r="712" spans="1:29" x14ac:dyDescent="0.2">
      <c r="A712" s="9"/>
      <c r="B712" s="103">
        <v>-1</v>
      </c>
      <c r="D712" s="8"/>
      <c r="E712" s="9"/>
      <c r="F712" s="36"/>
      <c r="H712" s="12"/>
      <c r="I712" s="19"/>
      <c r="J712" s="12"/>
      <c r="K712" s="43">
        <f>ROUND(C713*K$667,0)</f>
        <v>25000</v>
      </c>
      <c r="L712" s="35">
        <f>+B713-K712</f>
        <v>-25001</v>
      </c>
      <c r="M712" s="12"/>
      <c r="N712" s="12"/>
      <c r="O712" s="12"/>
      <c r="P712" s="17" t="e">
        <f>SUM(J713:M713,R713:AA713)</f>
        <v>#N/A</v>
      </c>
      <c r="Q712" s="17">
        <f t="shared" si="43"/>
        <v>0</v>
      </c>
      <c r="R712" s="38" t="e">
        <f>VLOOKUP((D713),'Pwr Factor'!$A$1:$B$52,2)</f>
        <v>#N/A</v>
      </c>
      <c r="S712" s="50">
        <v>0.5</v>
      </c>
      <c r="T712" s="12"/>
      <c r="U712" s="12"/>
      <c r="V712" s="12"/>
      <c r="W712" s="12"/>
      <c r="X712" s="12"/>
      <c r="Y712" s="12"/>
      <c r="Z712" s="12"/>
      <c r="AA712" s="12"/>
    </row>
    <row r="713" spans="1:29" x14ac:dyDescent="0.2">
      <c r="A713" s="1" t="s">
        <v>149</v>
      </c>
      <c r="B713" s="103">
        <f>IF(AND('AES Indiana Bill Calc.'!$D$17="PH",'AES Indiana Bill Calc.'!$D$18="Yes 50%",'AES Indiana Bill Calc.'!$D$20="Yes 2020"),'AES Indiana Bill Calc.'!$D$19,-1)</f>
        <v>-1</v>
      </c>
      <c r="C713" s="103">
        <f>MAX(E713,$C$667)</f>
        <v>100</v>
      </c>
      <c r="D713" s="103" t="b">
        <f>IF(AND('AES Indiana Bill Calc.'!$D$17="PH",'AES Indiana Bill Calc.'!$D$18="Yes 50%",'AES Indiana Bill Calc.'!$D$20="Yes 2020"),'AES Indiana Bill Calc.'!$D$22)</f>
        <v>0</v>
      </c>
      <c r="E713" s="103" t="b">
        <f>IF(AND('AES Indiana Bill Calc.'!$D$17="PH",'AES Indiana Bill Calc.'!$D$18="Yes 50%",'AES Indiana Bill Calc.'!$D$20="Yes 2020"),'AES Indiana Bill Calc.'!$D$21)</f>
        <v>0</v>
      </c>
      <c r="F713" s="36" t="s">
        <v>228</v>
      </c>
      <c r="G713" s="138" t="e">
        <f>MAX(I713,P712)</f>
        <v>#N/A</v>
      </c>
      <c r="H713" s="19" t="e">
        <f>IF(ISBLANK(B713),0,+#REF!/B713)</f>
        <v>#REF!</v>
      </c>
      <c r="I713" s="115">
        <f>(E713*120*$K$666)+$J$666</f>
        <v>1250</v>
      </c>
      <c r="J713" s="51">
        <f>IF(ISBLANK(B713),0,+J$666)</f>
        <v>1250</v>
      </c>
      <c r="K713" s="16">
        <f>IF($B713&gt;K712,ROUND(K712*K$666,2),ROUND($B713*K$666,2))</f>
        <v>-0.1</v>
      </c>
      <c r="L713" s="17">
        <f>IF($B713&gt;K712,ROUND((B713-K712)*L$666,2),0)</f>
        <v>0</v>
      </c>
      <c r="M713" s="17">
        <f>IF($C713&gt;L$565,ROUND(($C713-L$565)*M$564,2),0)</f>
        <v>0</v>
      </c>
      <c r="N713" s="17">
        <v>0</v>
      </c>
      <c r="O713" s="17"/>
      <c r="P713" s="12"/>
      <c r="Q713" s="17">
        <f t="shared" si="43"/>
        <v>0</v>
      </c>
      <c r="R713" s="16" t="e">
        <f>ROUND(SUM(K713:M713)*(R712-1),2)</f>
        <v>#N/A</v>
      </c>
      <c r="S713" s="17">
        <f>ROUND($B713*S$666*S712,2)</f>
        <v>0</v>
      </c>
      <c r="T713" s="17">
        <f>ROUND($B713*T$666,2)</f>
        <v>0</v>
      </c>
      <c r="U713" s="17">
        <f>ROUND($B713*U$666,2)</f>
        <v>0</v>
      </c>
      <c r="V713" s="17">
        <f>ROUND($B713*V$661,2)</f>
        <v>0</v>
      </c>
      <c r="W713" s="17">
        <f>ROUND($B713*W$666,2)</f>
        <v>0</v>
      </c>
      <c r="X713" s="17">
        <f>ROUND($B713*X$666,2)</f>
        <v>0</v>
      </c>
      <c r="Y713" s="17">
        <f>ROUND($B713*Y$666,2)</f>
        <v>0</v>
      </c>
      <c r="Z713" s="17">
        <f>ROUND($B713*Z$666,2)</f>
        <v>0</v>
      </c>
      <c r="AA713" s="17">
        <f>ROUND($B713*AA$666,2)</f>
        <v>0</v>
      </c>
      <c r="AB713" s="19">
        <f>SUM(U708:AA708)</f>
        <v>0</v>
      </c>
      <c r="AC713" s="67" t="str">
        <f>+F713</f>
        <v>PH0</v>
      </c>
    </row>
    <row r="714" spans="1:29" x14ac:dyDescent="0.2">
      <c r="A714" s="9"/>
      <c r="B714" s="103">
        <v>-1</v>
      </c>
      <c r="D714" s="8"/>
      <c r="E714" s="9"/>
      <c r="F714" s="36"/>
      <c r="H714" s="12"/>
      <c r="I714" s="19"/>
      <c r="J714" s="12"/>
      <c r="K714" s="43">
        <f>ROUND(C715*K$667,0)</f>
        <v>25000</v>
      </c>
      <c r="L714" s="35">
        <f>+B715-K714</f>
        <v>-25001</v>
      </c>
      <c r="M714" s="12"/>
      <c r="N714" s="12"/>
      <c r="O714" s="12"/>
      <c r="P714" s="17" t="e">
        <f>SUM(J715:M715,R715:AA715)</f>
        <v>#N/A</v>
      </c>
      <c r="Q714" s="17">
        <f t="shared" si="43"/>
        <v>0</v>
      </c>
      <c r="R714" s="38" t="e">
        <f>VLOOKUP((D715),'Pwr Factor'!$A$1:$B$52,2)</f>
        <v>#N/A</v>
      </c>
      <c r="S714" s="50">
        <v>0.25</v>
      </c>
      <c r="T714" s="12"/>
      <c r="U714" s="12"/>
      <c r="V714" s="12"/>
      <c r="W714" s="12"/>
      <c r="X714" s="12"/>
      <c r="Y714" s="12"/>
      <c r="Z714" s="12"/>
      <c r="AA714" s="12"/>
    </row>
    <row r="715" spans="1:29" x14ac:dyDescent="0.2">
      <c r="A715" s="1" t="s">
        <v>150</v>
      </c>
      <c r="B715" s="103">
        <f>IF(AND('AES Indiana Bill Calc.'!$D$17="PH",'AES Indiana Bill Calc.'!$D$18="Yes 25%",'AES Indiana Bill Calc.'!$D$20="Yes 2020"),'AES Indiana Bill Calc.'!$D$19,-1)</f>
        <v>-1</v>
      </c>
      <c r="C715" s="103">
        <f>MAX(E715,$C$667)</f>
        <v>100</v>
      </c>
      <c r="D715" s="103" t="b">
        <f>IF(AND('AES Indiana Bill Calc.'!$D$17="PH",'AES Indiana Bill Calc.'!$D$18="Yes 25%",'AES Indiana Bill Calc.'!$D$20="Yes 2020"),'AES Indiana Bill Calc.'!$D$22)</f>
        <v>0</v>
      </c>
      <c r="E715" s="103" t="b">
        <f>IF(AND('AES Indiana Bill Calc.'!$D$17="PH",'AES Indiana Bill Calc.'!$D$18="Yes 25%",'AES Indiana Bill Calc.'!$D$20="Yes 2020"),'AES Indiana Bill Calc.'!$D$21)</f>
        <v>0</v>
      </c>
      <c r="F715" s="36" t="s">
        <v>228</v>
      </c>
      <c r="G715" s="138" t="e">
        <f>MAX(I715,P714)</f>
        <v>#N/A</v>
      </c>
      <c r="H715" s="19" t="e">
        <f>IF(ISBLANK(B715),0,+#REF!/B715)</f>
        <v>#REF!</v>
      </c>
      <c r="I715" s="115">
        <f>(E715*120*$K$666)+$J$666</f>
        <v>1250</v>
      </c>
      <c r="J715" s="51">
        <f>IF(ISBLANK(B715),0,+J$666)</f>
        <v>1250</v>
      </c>
      <c r="K715" s="16">
        <f>IF($B715&gt;K714,ROUND(K714*K$666,2),ROUND($B715*K$666,2))</f>
        <v>-0.1</v>
      </c>
      <c r="L715" s="17">
        <f>IF($B715&gt;K714,ROUND((B715-K714)*L$666,2),0)</f>
        <v>0</v>
      </c>
      <c r="M715" s="17">
        <f>IF($C715&gt;L$565,ROUND(($C715-L$565)*M$564,2),0)</f>
        <v>0</v>
      </c>
      <c r="N715" s="17">
        <f>SUM(K715:L715)</f>
        <v>-0.1</v>
      </c>
      <c r="O715" s="17"/>
      <c r="P715" s="12"/>
      <c r="Q715" s="17">
        <f t="shared" si="43"/>
        <v>0</v>
      </c>
      <c r="R715" s="16" t="e">
        <f>ROUND(SUM(K715:M715)*(R714-1),2)</f>
        <v>#N/A</v>
      </c>
      <c r="S715" s="17">
        <f>ROUND($B715*S$666*S714,2)</f>
        <v>0</v>
      </c>
      <c r="T715" s="17">
        <f>ROUND($B715*T$666,2)</f>
        <v>0</v>
      </c>
      <c r="U715" s="17">
        <f>ROUND($B715*U$666,2)</f>
        <v>0</v>
      </c>
      <c r="V715" s="17">
        <f>ROUND($B715*V$661,2)</f>
        <v>0</v>
      </c>
      <c r="W715" s="17">
        <f>ROUND($B715*W$666,2)</f>
        <v>0</v>
      </c>
      <c r="X715" s="17">
        <f>ROUND($B715*X$666,2)</f>
        <v>0</v>
      </c>
      <c r="Y715" s="17">
        <f>ROUND($B715*Y$666,2)</f>
        <v>0</v>
      </c>
      <c r="Z715" s="17">
        <f>ROUND($B715*Z$666,2)</f>
        <v>0</v>
      </c>
      <c r="AA715" s="17">
        <f>ROUND($B715*AA$666,2)</f>
        <v>0</v>
      </c>
      <c r="AB715" s="19">
        <f>SUM(U710:AA710)</f>
        <v>0</v>
      </c>
      <c r="AC715" s="67" t="str">
        <f>+F715</f>
        <v>PH0</v>
      </c>
    </row>
    <row r="716" spans="1:29" x14ac:dyDescent="0.2">
      <c r="A716" s="9"/>
      <c r="B716" s="103">
        <v>-1</v>
      </c>
      <c r="D716" s="8"/>
      <c r="E716" s="9"/>
      <c r="F716" s="36"/>
      <c r="H716" s="12"/>
      <c r="I716" s="19"/>
      <c r="J716" s="12"/>
      <c r="K716" s="43">
        <f>ROUND(C717*K$667,0)</f>
        <v>25000</v>
      </c>
      <c r="L716" s="35">
        <f>+B717-K716</f>
        <v>-25001</v>
      </c>
      <c r="M716" s="12"/>
      <c r="N716" s="12"/>
      <c r="O716" s="12"/>
      <c r="P716" s="17" t="e">
        <f>SUM(J717:M717,R717:AA717)</f>
        <v>#N/A</v>
      </c>
      <c r="Q716" s="17">
        <f t="shared" si="43"/>
        <v>0</v>
      </c>
      <c r="R716" s="38" t="e">
        <f>VLOOKUP((D717),'Pwr Factor'!$A$1:$B$52,2)</f>
        <v>#N/A</v>
      </c>
      <c r="S716" s="50">
        <v>0.1</v>
      </c>
      <c r="T716" s="12"/>
      <c r="U716" s="12"/>
      <c r="V716" s="12"/>
      <c r="W716" s="12"/>
      <c r="X716" s="12"/>
      <c r="Y716" s="12"/>
      <c r="Z716" s="12"/>
      <c r="AA716" s="12"/>
    </row>
    <row r="717" spans="1:29" x14ac:dyDescent="0.2">
      <c r="A717" s="1" t="s">
        <v>164</v>
      </c>
      <c r="B717" s="103">
        <f>IF(AND('AES Indiana Bill Calc.'!$D$17="PH",'AES Indiana Bill Calc.'!$D$18="Yes 10%",'AES Indiana Bill Calc.'!$D$20="Yes 2020"),'AES Indiana Bill Calc.'!$D$19,-1)</f>
        <v>-1</v>
      </c>
      <c r="C717" s="103">
        <f>MAX(E717,$C$667)</f>
        <v>100</v>
      </c>
      <c r="D717" s="103" t="b">
        <f>IF(AND('AES Indiana Bill Calc.'!$D$17="PH",'AES Indiana Bill Calc.'!$D$18="Yes 10%",'AES Indiana Bill Calc.'!$D$20="Yes 2020"),'AES Indiana Bill Calc.'!$D$22)</f>
        <v>0</v>
      </c>
      <c r="E717" s="103" t="b">
        <f>IF(AND('AES Indiana Bill Calc.'!$D$17="PH",'AES Indiana Bill Calc.'!$D$18="Yes 10%",'AES Indiana Bill Calc.'!$D$20="Yes 2020"),'AES Indiana Bill Calc.'!$D$21)</f>
        <v>0</v>
      </c>
      <c r="F717" s="36" t="s">
        <v>228</v>
      </c>
      <c r="G717" s="138" t="e">
        <f>MAX(I717,P716)</f>
        <v>#N/A</v>
      </c>
      <c r="H717" s="19" t="e">
        <f>IF(ISBLANK(B717),0,+#REF!/B717)</f>
        <v>#REF!</v>
      </c>
      <c r="I717" s="115">
        <f>(E717*120*$K$666)+$J$666</f>
        <v>1250</v>
      </c>
      <c r="J717" s="51">
        <f>IF(ISBLANK(B717),0,+J$666)</f>
        <v>1250</v>
      </c>
      <c r="K717" s="16">
        <f>IF($B717&gt;K716,ROUND(K716*K$666,2),ROUND($B717*K$666,2))</f>
        <v>-0.1</v>
      </c>
      <c r="L717" s="17">
        <f>IF($B717&gt;K716,ROUND((B717-K716)*L$666,2),0)</f>
        <v>0</v>
      </c>
      <c r="M717" s="17">
        <f>IF($C717&gt;L$565,ROUND(($C717-L$565)*M$564,2),0)</f>
        <v>0</v>
      </c>
      <c r="N717" s="17">
        <f>SUM(K717:L717)</f>
        <v>-0.1</v>
      </c>
      <c r="O717" s="17"/>
      <c r="P717" s="12"/>
      <c r="Q717" s="17">
        <f t="shared" si="43"/>
        <v>0</v>
      </c>
      <c r="R717" s="16" t="e">
        <f>ROUND(SUM(K717:M717)*(R716-1),2)</f>
        <v>#N/A</v>
      </c>
      <c r="S717" s="17">
        <f>ROUND($B717*S$666*S716,2)</f>
        <v>0</v>
      </c>
      <c r="T717" s="17">
        <f>ROUND($B717*T$666,2)</f>
        <v>0</v>
      </c>
      <c r="U717" s="17">
        <f>ROUND($B717*U$666,2)</f>
        <v>0</v>
      </c>
      <c r="V717" s="17">
        <f>ROUND($B717*V$661,2)</f>
        <v>0</v>
      </c>
      <c r="W717" s="17">
        <f>ROUND($B717*W$666,2)</f>
        <v>0</v>
      </c>
      <c r="X717" s="17">
        <f>ROUND($B717*X$666,2)</f>
        <v>0</v>
      </c>
      <c r="Y717" s="17">
        <f>ROUND($B717*Y$666,2)</f>
        <v>0</v>
      </c>
      <c r="Z717" s="17">
        <f>ROUND($B717*Z$666,2)</f>
        <v>0</v>
      </c>
      <c r="AA717" s="17">
        <f>ROUND($B717*AA$666,2)</f>
        <v>0</v>
      </c>
      <c r="AB717" s="19">
        <f>SUM(U712:AA712)</f>
        <v>0</v>
      </c>
      <c r="AC717" s="67" t="str">
        <f>+F717</f>
        <v>PH0</v>
      </c>
    </row>
    <row r="718" spans="1:29" x14ac:dyDescent="0.2">
      <c r="A718" s="9"/>
      <c r="B718" s="103">
        <v>-1</v>
      </c>
      <c r="D718" s="8"/>
      <c r="E718" s="9"/>
      <c r="F718" s="36"/>
      <c r="H718" s="12"/>
      <c r="I718" s="19"/>
      <c r="J718" s="12"/>
      <c r="K718" s="43">
        <f>ROUND(C719*K$667,0)</f>
        <v>25000</v>
      </c>
      <c r="L718" s="35">
        <f>+B719-K718</f>
        <v>-25001</v>
      </c>
      <c r="M718" s="12"/>
      <c r="N718" s="12"/>
      <c r="O718" s="12"/>
      <c r="P718" s="17" t="e">
        <f>SUM(J719:M719,R719:AA719)</f>
        <v>#N/A</v>
      </c>
      <c r="Q718" s="17">
        <f t="shared" si="43"/>
        <v>0</v>
      </c>
      <c r="R718" s="38" t="e">
        <f>VLOOKUP((D719),'Pwr Factor'!$A$1:$B$52,2)</f>
        <v>#N/A</v>
      </c>
      <c r="S718" s="50">
        <v>0</v>
      </c>
      <c r="T718" s="12"/>
      <c r="U718" s="12"/>
      <c r="V718" s="12"/>
      <c r="W718" s="12"/>
      <c r="X718" s="12"/>
      <c r="Y718" s="12"/>
      <c r="Z718" s="12"/>
      <c r="AA718" s="12"/>
    </row>
    <row r="719" spans="1:29" x14ac:dyDescent="0.2">
      <c r="A719" s="1" t="s">
        <v>147</v>
      </c>
      <c r="B719" s="103">
        <f>IF(AND('AES Indiana Bill Calc.'!$D$17="PH",'AES Indiana Bill Calc.'!$D$18="No",'AES Indiana Bill Calc.'!$D$20="Yes 2020"),'AES Indiana Bill Calc.'!$D$19,-1)</f>
        <v>-1</v>
      </c>
      <c r="C719" s="103">
        <f>MAX(E719,$C$667)</f>
        <v>100</v>
      </c>
      <c r="D719" s="103" t="b">
        <f>IF(AND('AES Indiana Bill Calc.'!$D$17="PH",'AES Indiana Bill Calc.'!$D$18="No",'AES Indiana Bill Calc.'!$D$20="Yes 2020"),'AES Indiana Bill Calc.'!$D$22)</f>
        <v>0</v>
      </c>
      <c r="E719" s="103" t="b">
        <f>IF(AND('AES Indiana Bill Calc.'!$D$17="PH",'AES Indiana Bill Calc.'!$D$18="No",'AES Indiana Bill Calc.'!$D$20="Yes 2020"),'AES Indiana Bill Calc.'!$D$21)</f>
        <v>0</v>
      </c>
      <c r="F719" s="36" t="s">
        <v>228</v>
      </c>
      <c r="G719" s="138" t="e">
        <f>MAX(I719,P718)</f>
        <v>#N/A</v>
      </c>
      <c r="H719" s="19" t="e">
        <f>IF(ISBLANK(B719),0,+#REF!/B719)</f>
        <v>#REF!</v>
      </c>
      <c r="I719" s="115">
        <f>(E719*120*$K$666)+$J$666</f>
        <v>1250</v>
      </c>
      <c r="J719" s="51">
        <f>IF(ISBLANK(B719),0,+J$666)</f>
        <v>1250</v>
      </c>
      <c r="K719" s="16">
        <f>IF($B719&gt;K718,ROUND(K718*K$666,2),ROUND($B719*K$666,2))</f>
        <v>-0.1</v>
      </c>
      <c r="L719" s="17">
        <f>IF($B719&gt;K718,ROUND((B719-K718)*L$666,2),0)</f>
        <v>0</v>
      </c>
      <c r="M719" s="17">
        <f>IF($C719&gt;L$565,ROUND(($C719-L$565)*M$564,2),0)</f>
        <v>0</v>
      </c>
      <c r="N719" s="17">
        <f>SUM(K719:L719)</f>
        <v>-0.1</v>
      </c>
      <c r="O719" s="17"/>
      <c r="P719" s="12"/>
      <c r="Q719" s="17">
        <f t="shared" si="43"/>
        <v>0</v>
      </c>
      <c r="R719" s="16" t="e">
        <f>ROUND(SUM(K719:M719)*(R718-1),2)</f>
        <v>#N/A</v>
      </c>
      <c r="S719" s="17">
        <f>ROUND($B719*S$666*S718,2)</f>
        <v>0</v>
      </c>
      <c r="T719" s="17">
        <f>ROUND($B719*T$666,2)</f>
        <v>0</v>
      </c>
      <c r="U719" s="17">
        <f>ROUND($B719*U$666,2)</f>
        <v>0</v>
      </c>
      <c r="V719" s="17">
        <f>ROUND($B719*V$661,2)</f>
        <v>0</v>
      </c>
      <c r="W719" s="17">
        <f>ROUND($B719*W$666,2)</f>
        <v>0</v>
      </c>
      <c r="X719" s="17">
        <f>ROUND($B719*X$666,2)</f>
        <v>0</v>
      </c>
      <c r="Y719" s="17">
        <f>ROUND($B719*Y$666,2)</f>
        <v>0</v>
      </c>
      <c r="Z719" s="17">
        <f>ROUND($B719*Z$666,2)</f>
        <v>0</v>
      </c>
      <c r="AA719" s="17">
        <f>ROUND($B719*AA$666,2)</f>
        <v>0</v>
      </c>
      <c r="AB719" s="19">
        <f>SUM(U714:AA714)</f>
        <v>0</v>
      </c>
      <c r="AC719" s="67" t="str">
        <f>+F719</f>
        <v>PH0</v>
      </c>
    </row>
    <row r="720" spans="1:29" x14ac:dyDescent="0.2">
      <c r="A720" s="9"/>
      <c r="B720" s="103">
        <v>-1</v>
      </c>
      <c r="D720" s="8"/>
      <c r="E720" s="9"/>
      <c r="F720" s="36"/>
      <c r="H720" s="12"/>
      <c r="I720" s="19"/>
      <c r="J720" s="12"/>
      <c r="K720" s="43">
        <f>ROUND(C721*K$667,0)</f>
        <v>25000</v>
      </c>
      <c r="L720" s="35">
        <f>+B721-K720</f>
        <v>-25001</v>
      </c>
      <c r="M720" s="12"/>
      <c r="N720" s="12"/>
      <c r="O720" s="12"/>
      <c r="P720" s="17" t="e">
        <f>SUM(J721:M721,R721:AA721)</f>
        <v>#N/A</v>
      </c>
      <c r="Q720" s="17">
        <f t="shared" si="43"/>
        <v>0</v>
      </c>
      <c r="R720" s="38" t="e">
        <f>VLOOKUP((D721),'Pwr Factor'!$A$1:$B$52,2)</f>
        <v>#N/A</v>
      </c>
      <c r="S720" s="50">
        <v>1</v>
      </c>
      <c r="T720" s="12"/>
      <c r="U720" s="12"/>
      <c r="V720" s="12"/>
      <c r="W720" s="12"/>
      <c r="X720" s="12"/>
      <c r="Y720" s="12"/>
      <c r="Z720" s="12"/>
      <c r="AA720" s="12"/>
    </row>
    <row r="721" spans="1:29" x14ac:dyDescent="0.2">
      <c r="A721" s="1" t="s">
        <v>148</v>
      </c>
      <c r="B721" s="103">
        <f>IF(AND('AES Indiana Bill Calc.'!$D$17="PH",'AES Indiana Bill Calc.'!$D$18="Yes 100%",'AES Indiana Bill Calc.'!$D$20="Yes 2021"),'AES Indiana Bill Calc.'!$D$19,-1)</f>
        <v>-1</v>
      </c>
      <c r="C721" s="103">
        <f>MAX(E721,$C$667)</f>
        <v>100</v>
      </c>
      <c r="D721" s="103" t="b">
        <f>IF(AND('AES Indiana Bill Calc.'!$D$17="PH",'AES Indiana Bill Calc.'!$D$18="Yes 100%",'AES Indiana Bill Calc.'!$D$20="Yes 2021"),'AES Indiana Bill Calc.'!$D$22)</f>
        <v>0</v>
      </c>
      <c r="E721" s="103" t="b">
        <f>IF(AND('AES Indiana Bill Calc.'!$D$17="PH",'AES Indiana Bill Calc.'!$D$18="Yes 100%",'AES Indiana Bill Calc.'!$D$20="Yes 2021"),'AES Indiana Bill Calc.'!$D$21)</f>
        <v>0</v>
      </c>
      <c r="F721" s="36" t="s">
        <v>229</v>
      </c>
      <c r="G721" s="138" t="e">
        <f>MAX(I721,P720)</f>
        <v>#N/A</v>
      </c>
      <c r="H721" s="19" t="e">
        <f>IF(ISBLANK(B721),0,+#REF!/B721)</f>
        <v>#REF!</v>
      </c>
      <c r="I721" s="115">
        <f>(E721*120*$K$666)+$J$666</f>
        <v>1250</v>
      </c>
      <c r="J721" s="51">
        <f>IF(ISBLANK(B721),0,+J$666)</f>
        <v>1250</v>
      </c>
      <c r="K721" s="16">
        <f>IF($B721&gt;K720,ROUND(K720*K$666,2),ROUND($B721*K$666,2))</f>
        <v>-0.1</v>
      </c>
      <c r="L721" s="17">
        <f>IF($B721&gt;K720,ROUND((B721-K720)*L$666,2),0)</f>
        <v>0</v>
      </c>
      <c r="M721" s="17">
        <f>IF($C721&gt;L$565,ROUND(($C721-L$565)*M$564,2),0)</f>
        <v>0</v>
      </c>
      <c r="N721" s="17">
        <f>SUM(K721:L721)</f>
        <v>-0.1</v>
      </c>
      <c r="O721" s="17"/>
      <c r="P721" s="12"/>
      <c r="Q721" s="17">
        <f t="shared" si="43"/>
        <v>0</v>
      </c>
      <c r="R721" s="16" t="e">
        <f>ROUND(SUM(K721:M721)*(R720-1),2)</f>
        <v>#N/A</v>
      </c>
      <c r="S721" s="17">
        <f>ROUND($B721*S$666*S720,2)</f>
        <v>0</v>
      </c>
      <c r="T721" s="17">
        <f>ROUND($B721*T$666,2)</f>
        <v>0</v>
      </c>
      <c r="U721" s="17">
        <f>ROUND($B721*U$666,2)</f>
        <v>0</v>
      </c>
      <c r="V721" s="17">
        <f>ROUND($B721*V$662,2)</f>
        <v>0</v>
      </c>
      <c r="W721" s="17">
        <f>ROUND($B721*W$666,2)</f>
        <v>0</v>
      </c>
      <c r="X721" s="17">
        <f>ROUND($B721*X$666,2)</f>
        <v>0</v>
      </c>
      <c r="Y721" s="17">
        <f>ROUND($B721*Y$666,2)</f>
        <v>0</v>
      </c>
      <c r="Z721" s="17">
        <f>ROUND($B721*Z$666,2)</f>
        <v>0</v>
      </c>
      <c r="AA721" s="17">
        <f>ROUND($B721*AA$666,2)</f>
        <v>0</v>
      </c>
      <c r="AB721" s="19">
        <f>SUM(U716:AA716)</f>
        <v>0</v>
      </c>
      <c r="AC721" s="67" t="str">
        <f>+F721</f>
        <v>PH1</v>
      </c>
    </row>
    <row r="722" spans="1:29" x14ac:dyDescent="0.2">
      <c r="A722" s="9"/>
      <c r="B722" s="103">
        <v>-1</v>
      </c>
      <c r="D722" s="8"/>
      <c r="E722" s="9"/>
      <c r="F722" s="36"/>
      <c r="H722" s="12"/>
      <c r="I722" s="19"/>
      <c r="J722" s="12"/>
      <c r="K722" s="43">
        <f>ROUND(C723*K$667,0)</f>
        <v>25000</v>
      </c>
      <c r="L722" s="35">
        <f>+B723-K722</f>
        <v>-25001</v>
      </c>
      <c r="M722" s="12"/>
      <c r="N722" s="12"/>
      <c r="O722" s="12"/>
      <c r="P722" s="17" t="e">
        <f>SUM(J723:M723,R723:AA723)</f>
        <v>#N/A</v>
      </c>
      <c r="Q722" s="17">
        <f t="shared" si="43"/>
        <v>0</v>
      </c>
      <c r="R722" s="38" t="e">
        <f>VLOOKUP((D723),'Pwr Factor'!$A$1:$B$52,2)</f>
        <v>#N/A</v>
      </c>
      <c r="S722" s="50">
        <v>0.5</v>
      </c>
      <c r="T722" s="12"/>
      <c r="U722" s="12"/>
      <c r="V722" s="12"/>
      <c r="W722" s="12"/>
      <c r="X722" s="12"/>
      <c r="Y722" s="12"/>
      <c r="Z722" s="12"/>
      <c r="AA722" s="12"/>
    </row>
    <row r="723" spans="1:29" x14ac:dyDescent="0.2">
      <c r="A723" s="1" t="s">
        <v>149</v>
      </c>
      <c r="B723" s="103">
        <f>IF(AND('AES Indiana Bill Calc.'!$D$17="PH",'AES Indiana Bill Calc.'!$D$18="Yes 50%",'AES Indiana Bill Calc.'!$D$20="Yes 2021"),'AES Indiana Bill Calc.'!$D$19,-1)</f>
        <v>-1</v>
      </c>
      <c r="C723" s="103">
        <f>MAX(E723,$C$667)</f>
        <v>100</v>
      </c>
      <c r="D723" s="103" t="b">
        <f>IF(AND('AES Indiana Bill Calc.'!$D$17="PH",'AES Indiana Bill Calc.'!$D$18="Yes 50%",'AES Indiana Bill Calc.'!$D$20="Yes 2021"),'AES Indiana Bill Calc.'!$D$22)</f>
        <v>0</v>
      </c>
      <c r="E723" s="103" t="b">
        <f>IF(AND('AES Indiana Bill Calc.'!$D$17="PH",'AES Indiana Bill Calc.'!$D$18="Yes 50%",'AES Indiana Bill Calc.'!$D$20="Yes 2021"),'AES Indiana Bill Calc.'!$D$21)</f>
        <v>0</v>
      </c>
      <c r="F723" s="36" t="s">
        <v>229</v>
      </c>
      <c r="G723" s="138" t="e">
        <f>MAX(I723,P722)</f>
        <v>#N/A</v>
      </c>
      <c r="H723" s="19" t="e">
        <f>IF(ISBLANK(B723),0,+#REF!/B723)</f>
        <v>#REF!</v>
      </c>
      <c r="I723" s="115">
        <f>(E723*120*$K$666)+$J$666</f>
        <v>1250</v>
      </c>
      <c r="J723" s="51">
        <f>IF(ISBLANK(B723),0,+J$666)</f>
        <v>1250</v>
      </c>
      <c r="K723" s="16">
        <f>IF($B723&gt;K722,ROUND(K722*K$666,2),ROUND($B723*K$666,2))</f>
        <v>-0.1</v>
      </c>
      <c r="L723" s="17">
        <f>IF($B723&gt;K722,ROUND((B723-K722)*L$666,2),0)</f>
        <v>0</v>
      </c>
      <c r="M723" s="17">
        <f>IF($C723&gt;L$565,ROUND(($C723-L$565)*M$564,2),0)</f>
        <v>0</v>
      </c>
      <c r="N723" s="17">
        <f>SUM(K723:L723)</f>
        <v>-0.1</v>
      </c>
      <c r="O723" s="17"/>
      <c r="P723" s="12"/>
      <c r="Q723" s="17">
        <f t="shared" si="43"/>
        <v>0</v>
      </c>
      <c r="R723" s="16" t="e">
        <f>ROUND(SUM(K723:M723)*(R722-1),2)</f>
        <v>#N/A</v>
      </c>
      <c r="S723" s="17">
        <f>ROUND($B723*S$666*S722,2)</f>
        <v>0</v>
      </c>
      <c r="T723" s="17">
        <f>ROUND($B723*T$666,2)</f>
        <v>0</v>
      </c>
      <c r="U723" s="17">
        <f>ROUND($B723*U$666,2)</f>
        <v>0</v>
      </c>
      <c r="V723" s="17">
        <f>ROUND($B723*V$662,2)</f>
        <v>0</v>
      </c>
      <c r="W723" s="17">
        <f>ROUND($B723*W$666,2)</f>
        <v>0</v>
      </c>
      <c r="X723" s="17">
        <f>ROUND($B723*X$666,2)</f>
        <v>0</v>
      </c>
      <c r="Y723" s="17">
        <f>ROUND($B723*Y$666,2)</f>
        <v>0</v>
      </c>
      <c r="Z723" s="17">
        <f>ROUND($B723*Z$666,2)</f>
        <v>0</v>
      </c>
      <c r="AA723" s="17">
        <f>ROUND($B723*AA$666,2)</f>
        <v>0</v>
      </c>
      <c r="AB723" s="19">
        <f>SUM(U718:AA718)</f>
        <v>0</v>
      </c>
      <c r="AC723" s="67" t="str">
        <f>+F723</f>
        <v>PH1</v>
      </c>
    </row>
    <row r="724" spans="1:29" x14ac:dyDescent="0.2">
      <c r="A724" s="9"/>
      <c r="B724" s="103">
        <v>-1</v>
      </c>
      <c r="D724" s="8"/>
      <c r="E724" s="9"/>
      <c r="F724" s="36"/>
      <c r="H724" s="12"/>
      <c r="I724" s="19"/>
      <c r="J724" s="12"/>
      <c r="K724" s="43">
        <f>ROUND(C725*K$667,0)</f>
        <v>25000</v>
      </c>
      <c r="L724" s="35">
        <f>+B725-K724</f>
        <v>-25001</v>
      </c>
      <c r="M724" s="12"/>
      <c r="N724" s="12"/>
      <c r="O724" s="12"/>
      <c r="P724" s="17" t="e">
        <f>SUM(J725:M725,R725:AA725)</f>
        <v>#N/A</v>
      </c>
      <c r="Q724" s="17">
        <f t="shared" si="43"/>
        <v>0</v>
      </c>
      <c r="R724" s="38" t="e">
        <f>VLOOKUP((D725),'Pwr Factor'!$A$1:$B$52,2)</f>
        <v>#N/A</v>
      </c>
      <c r="S724" s="50">
        <v>0.25</v>
      </c>
      <c r="T724" s="12"/>
      <c r="U724" s="12"/>
      <c r="V724" s="12"/>
      <c r="W724" s="12"/>
      <c r="X724" s="12"/>
      <c r="Y724" s="12"/>
      <c r="Z724" s="12"/>
      <c r="AA724" s="12"/>
    </row>
    <row r="725" spans="1:29" x14ac:dyDescent="0.2">
      <c r="A725" s="1" t="s">
        <v>150</v>
      </c>
      <c r="B725" s="103">
        <f>IF(AND('AES Indiana Bill Calc.'!$D$17="PH",'AES Indiana Bill Calc.'!$D$18="Yes 25%",'AES Indiana Bill Calc.'!$D$20="Yes 2021"),'AES Indiana Bill Calc.'!$D$19,-1)</f>
        <v>-1</v>
      </c>
      <c r="C725" s="103">
        <f>MAX(E725,$C$667)</f>
        <v>100</v>
      </c>
      <c r="D725" s="103" t="b">
        <f>IF(AND('AES Indiana Bill Calc.'!$D$17="PH",'AES Indiana Bill Calc.'!$D$18="Yes 25%",'AES Indiana Bill Calc.'!$D$20="Yes 2021"),'AES Indiana Bill Calc.'!$D$22)</f>
        <v>0</v>
      </c>
      <c r="E725" s="103" t="b">
        <f>IF(AND('AES Indiana Bill Calc.'!$D$17="PH",'AES Indiana Bill Calc.'!$D$18="Yes 25%",'AES Indiana Bill Calc.'!$D$20="Yes 2021"),'AES Indiana Bill Calc.'!$D$21)</f>
        <v>0</v>
      </c>
      <c r="F725" s="36" t="s">
        <v>229</v>
      </c>
      <c r="G725" s="138" t="e">
        <f>MAX(I725,P724)</f>
        <v>#N/A</v>
      </c>
      <c r="H725" s="19" t="e">
        <f>IF(ISBLANK(B725),0,+#REF!/B725)</f>
        <v>#REF!</v>
      </c>
      <c r="I725" s="115">
        <f>(E725*120*$K$666)+$J$666</f>
        <v>1250</v>
      </c>
      <c r="J725" s="51">
        <f>IF(ISBLANK(B725),0,+J$666)</f>
        <v>1250</v>
      </c>
      <c r="K725" s="16">
        <f>IF($B725&gt;K724,ROUND(K724*K$666,2),ROUND($B725*K$666,2))</f>
        <v>-0.1</v>
      </c>
      <c r="L725" s="17">
        <f>IF($B725&gt;K724,ROUND((B725-K724)*L$666,2),0)</f>
        <v>0</v>
      </c>
      <c r="M725" s="17">
        <f>IF($C725&gt;L$565,ROUND(($C725-L$565)*M$564,2),0)</f>
        <v>0</v>
      </c>
      <c r="N725" s="17">
        <f>SUM(K725:L725)</f>
        <v>-0.1</v>
      </c>
      <c r="O725" s="17"/>
      <c r="P725" s="12"/>
      <c r="Q725" s="17">
        <f t="shared" si="43"/>
        <v>0</v>
      </c>
      <c r="R725" s="16" t="e">
        <f>ROUND(SUM(K725:M725)*(R724-1),2)</f>
        <v>#N/A</v>
      </c>
      <c r="S725" s="17">
        <f>ROUND($B725*S$666*S724,2)</f>
        <v>0</v>
      </c>
      <c r="T725" s="17">
        <f>ROUND($B725*T$666,2)</f>
        <v>0</v>
      </c>
      <c r="U725" s="17">
        <f>ROUND($B725*U$666,2)</f>
        <v>0</v>
      </c>
      <c r="V725" s="17">
        <f>ROUND($B725*V$662,2)</f>
        <v>0</v>
      </c>
      <c r="W725" s="17">
        <f>ROUND($B725*W$666,2)</f>
        <v>0</v>
      </c>
      <c r="X725" s="17">
        <f>ROUND($B725*X$666,2)</f>
        <v>0</v>
      </c>
      <c r="Y725" s="17">
        <f>ROUND($B725*Y$666,2)</f>
        <v>0</v>
      </c>
      <c r="Z725" s="17">
        <f>ROUND($B725*Z$666,2)</f>
        <v>0</v>
      </c>
      <c r="AA725" s="17">
        <f>ROUND($B725*AA$666,2)</f>
        <v>0</v>
      </c>
      <c r="AB725" s="19">
        <f>SUM(U720:AA720)</f>
        <v>0</v>
      </c>
      <c r="AC725" s="67" t="str">
        <f>+F725</f>
        <v>PH1</v>
      </c>
    </row>
    <row r="726" spans="1:29" x14ac:dyDescent="0.2">
      <c r="A726" s="9"/>
      <c r="B726" s="103">
        <v>-1</v>
      </c>
      <c r="D726" s="8"/>
      <c r="E726" s="9"/>
      <c r="F726" s="36"/>
      <c r="H726" s="12"/>
      <c r="I726" s="19"/>
      <c r="J726" s="12"/>
      <c r="K726" s="43">
        <f>ROUND(C727*K$667,0)</f>
        <v>25000</v>
      </c>
      <c r="L726" s="35">
        <f>+B727-K726</f>
        <v>-25001</v>
      </c>
      <c r="M726" s="12"/>
      <c r="N726" s="12"/>
      <c r="O726" s="12"/>
      <c r="P726" s="17" t="e">
        <f>SUM(J727:M727,R727:AA727)</f>
        <v>#N/A</v>
      </c>
      <c r="Q726" s="17">
        <f t="shared" si="43"/>
        <v>0</v>
      </c>
      <c r="R726" s="38" t="e">
        <f>VLOOKUP((D727),'Pwr Factor'!$A$1:$B$52,2)</f>
        <v>#N/A</v>
      </c>
      <c r="S726" s="50">
        <v>0.1</v>
      </c>
      <c r="T726" s="12"/>
      <c r="U726" s="12"/>
      <c r="V726" s="12"/>
      <c r="W726" s="12"/>
      <c r="X726" s="12"/>
      <c r="Y726" s="12"/>
      <c r="Z726" s="12"/>
      <c r="AA726" s="12"/>
    </row>
    <row r="727" spans="1:29" x14ac:dyDescent="0.2">
      <c r="A727" s="1" t="s">
        <v>164</v>
      </c>
      <c r="B727" s="103">
        <f>IF(AND('AES Indiana Bill Calc.'!$D$17="PH",'AES Indiana Bill Calc.'!$D$18="Yes 10%",'AES Indiana Bill Calc.'!$D$20="Yes 2021"),'AES Indiana Bill Calc.'!$D$19,-1)</f>
        <v>-1</v>
      </c>
      <c r="C727" s="103">
        <f>MAX(E727,$C$667)</f>
        <v>100</v>
      </c>
      <c r="D727" s="103" t="b">
        <f>IF(AND('AES Indiana Bill Calc.'!$D$17="PH",'AES Indiana Bill Calc.'!$D$18="Yes 10%",'AES Indiana Bill Calc.'!$D$20="Yes 2021"),'AES Indiana Bill Calc.'!$D$22)</f>
        <v>0</v>
      </c>
      <c r="E727" s="103" t="b">
        <f>IF(AND('AES Indiana Bill Calc.'!$D$17="PH",'AES Indiana Bill Calc.'!$D$18="Yes 10%",'AES Indiana Bill Calc.'!$D$20="Yes 2021"),'AES Indiana Bill Calc.'!$D$21)</f>
        <v>0</v>
      </c>
      <c r="F727" s="36" t="s">
        <v>229</v>
      </c>
      <c r="G727" s="138" t="e">
        <f>MAX(I727,P726)</f>
        <v>#N/A</v>
      </c>
      <c r="H727" s="19" t="e">
        <f>IF(ISBLANK(B727),0,+#REF!/B727)</f>
        <v>#REF!</v>
      </c>
      <c r="I727" s="115">
        <f>(E727*120*$K$666)+$J$666</f>
        <v>1250</v>
      </c>
      <c r="J727" s="51">
        <f>IF(ISBLANK(B727),0,+J$666)</f>
        <v>1250</v>
      </c>
      <c r="K727" s="16">
        <f>IF($B727&gt;K726,ROUND(K726*K$666,2),ROUND($B727*K$666,2))</f>
        <v>-0.1</v>
      </c>
      <c r="L727" s="17">
        <f>IF($B727&gt;K726,ROUND((B727-K726)*L$666,2),0)</f>
        <v>0</v>
      </c>
      <c r="M727" s="17">
        <f>IF($C727&gt;L$565,ROUND(($C727-L$565)*M$564,2),0)</f>
        <v>0</v>
      </c>
      <c r="N727" s="17">
        <f>SUM(K727:L727)</f>
        <v>-0.1</v>
      </c>
      <c r="O727" s="17"/>
      <c r="P727" s="12"/>
      <c r="Q727" s="17">
        <f t="shared" si="43"/>
        <v>0</v>
      </c>
      <c r="R727" s="16" t="e">
        <f>ROUND(SUM(K727:M727)*(R726-1),2)</f>
        <v>#N/A</v>
      </c>
      <c r="S727" s="17">
        <f>ROUND($B727*S$666*S726,2)</f>
        <v>0</v>
      </c>
      <c r="T727" s="17">
        <f>ROUND($B727*T$666,2)</f>
        <v>0</v>
      </c>
      <c r="U727" s="17">
        <f>ROUND($B727*U$666,2)</f>
        <v>0</v>
      </c>
      <c r="V727" s="17">
        <f>ROUND($B727*V$662,2)</f>
        <v>0</v>
      </c>
      <c r="W727" s="17">
        <f>ROUND($B727*W$666,2)</f>
        <v>0</v>
      </c>
      <c r="X727" s="17">
        <f>ROUND($B727*X$666,2)</f>
        <v>0</v>
      </c>
      <c r="Y727" s="17">
        <f>ROUND($B727*Y$666,2)</f>
        <v>0</v>
      </c>
      <c r="Z727" s="17">
        <f>ROUND($B727*Z$666,2)</f>
        <v>0</v>
      </c>
      <c r="AA727" s="17">
        <f>ROUND($B727*AA$666,2)</f>
        <v>0</v>
      </c>
      <c r="AB727" s="19">
        <f>SUM(U722:AA722)</f>
        <v>0</v>
      </c>
      <c r="AC727" s="67" t="str">
        <f>+F727</f>
        <v>PH1</v>
      </c>
    </row>
    <row r="728" spans="1:29" x14ac:dyDescent="0.2">
      <c r="A728" s="9"/>
      <c r="B728" s="103">
        <v>-1</v>
      </c>
      <c r="D728" s="8"/>
      <c r="E728" s="9"/>
      <c r="F728" s="36"/>
      <c r="H728" s="12"/>
      <c r="I728" s="19"/>
      <c r="J728" s="12"/>
      <c r="K728" s="43">
        <f>ROUND(C729*K$667,0)</f>
        <v>25000</v>
      </c>
      <c r="L728" s="35">
        <f>+B729-K728</f>
        <v>-25001</v>
      </c>
      <c r="M728" s="12"/>
      <c r="N728" s="12"/>
      <c r="O728" s="12"/>
      <c r="P728" s="17" t="e">
        <f>SUM(J729:M729,R729:AA729)</f>
        <v>#N/A</v>
      </c>
      <c r="Q728" s="17">
        <f t="shared" si="43"/>
        <v>0</v>
      </c>
      <c r="R728" s="38" t="e">
        <f>VLOOKUP((D729),'Pwr Factor'!$A$1:$B$52,2)</f>
        <v>#N/A</v>
      </c>
      <c r="S728" s="50">
        <v>0</v>
      </c>
      <c r="T728" s="12"/>
      <c r="U728" s="12"/>
      <c r="V728" s="12"/>
      <c r="W728" s="12"/>
      <c r="X728" s="12"/>
      <c r="Y728" s="12"/>
      <c r="Z728" s="12"/>
      <c r="AA728" s="12"/>
    </row>
    <row r="729" spans="1:29" x14ac:dyDescent="0.2">
      <c r="A729" s="1" t="s">
        <v>147</v>
      </c>
      <c r="B729" s="103">
        <f>IF(AND('AES Indiana Bill Calc.'!$D$17="PH",'AES Indiana Bill Calc.'!$D$18="No",'AES Indiana Bill Calc.'!$D$20="Yes 2021"),'AES Indiana Bill Calc.'!$D$19,-1)</f>
        <v>-1</v>
      </c>
      <c r="C729" s="103">
        <f>MAX(E729,$C$667)</f>
        <v>100</v>
      </c>
      <c r="D729" s="103" t="b">
        <f>IF(AND('AES Indiana Bill Calc.'!$D$17="PH",'AES Indiana Bill Calc.'!$D$18="No",'AES Indiana Bill Calc.'!$D$20="Yes 2021"),'AES Indiana Bill Calc.'!$D$22)</f>
        <v>0</v>
      </c>
      <c r="E729" s="103" t="b">
        <f>IF(AND('AES Indiana Bill Calc.'!$D$17="PH",'AES Indiana Bill Calc.'!$D$18="No",'AES Indiana Bill Calc.'!$D$20="Yes 2021"),'AES Indiana Bill Calc.'!$D$21)</f>
        <v>0</v>
      </c>
      <c r="F729" s="36" t="s">
        <v>229</v>
      </c>
      <c r="G729" s="138" t="e">
        <f>MAX(I729,P728)</f>
        <v>#N/A</v>
      </c>
      <c r="H729" s="19" t="e">
        <f>IF(ISBLANK(B729),0,+#REF!/B729)</f>
        <v>#REF!</v>
      </c>
      <c r="I729" s="115">
        <f>(E729*120*$K$666)+$J$666</f>
        <v>1250</v>
      </c>
      <c r="J729" s="51">
        <f>IF(ISBLANK(B729),0,+J$666)</f>
        <v>1250</v>
      </c>
      <c r="K729" s="16">
        <f>IF($B729&gt;K728,ROUND(K728*K$666,2),ROUND($B729*K$666,2))</f>
        <v>-0.1</v>
      </c>
      <c r="L729" s="17">
        <f>IF($B729&gt;K728,ROUND((B729-K728)*L$666,2),0)</f>
        <v>0</v>
      </c>
      <c r="M729" s="17">
        <f>IF($C729&gt;L$565,ROUND(($C729-L$565)*M$564,2),0)</f>
        <v>0</v>
      </c>
      <c r="N729" s="17">
        <f>SUM(K729:L729)</f>
        <v>-0.1</v>
      </c>
      <c r="O729" s="17"/>
      <c r="P729" s="12"/>
      <c r="Q729" s="17">
        <f t="shared" si="43"/>
        <v>0</v>
      </c>
      <c r="R729" s="16" t="e">
        <f>ROUND(SUM(K729:M729)*(R728-1),2)</f>
        <v>#N/A</v>
      </c>
      <c r="S729" s="17">
        <f>ROUND($B729*S$666*S728,2)</f>
        <v>0</v>
      </c>
      <c r="T729" s="17">
        <f>ROUND($B729*T$666,2)</f>
        <v>0</v>
      </c>
      <c r="U729" s="17">
        <f>ROUND($B729*U$666,2)</f>
        <v>0</v>
      </c>
      <c r="V729" s="17">
        <f>ROUND($B729*V$662,2)</f>
        <v>0</v>
      </c>
      <c r="W729" s="17">
        <f>ROUND($B729*W$666,2)</f>
        <v>0</v>
      </c>
      <c r="X729" s="17">
        <f>ROUND($B729*X$666,2)</f>
        <v>0</v>
      </c>
      <c r="Y729" s="17">
        <f>ROUND($B729*Y$666,2)</f>
        <v>0</v>
      </c>
      <c r="Z729" s="17">
        <f>ROUND($B729*Z$666,2)</f>
        <v>0</v>
      </c>
      <c r="AA729" s="17">
        <f>ROUND($B729*AA$666,2)</f>
        <v>0</v>
      </c>
      <c r="AB729" s="19">
        <f>SUM(U724:AA724)</f>
        <v>0</v>
      </c>
      <c r="AC729" s="67" t="str">
        <f>+F729</f>
        <v>PH1</v>
      </c>
    </row>
    <row r="730" spans="1:29" x14ac:dyDescent="0.2">
      <c r="A730" s="9"/>
      <c r="B730" s="103">
        <v>-1</v>
      </c>
      <c r="D730" s="8"/>
      <c r="E730" s="9"/>
      <c r="F730" s="36"/>
      <c r="H730" s="12"/>
      <c r="I730" s="19"/>
      <c r="J730" s="12"/>
      <c r="K730" s="43">
        <f>ROUND(C731*K$667,0)</f>
        <v>25000</v>
      </c>
      <c r="L730" s="35">
        <f>+B731-K730</f>
        <v>-25001</v>
      </c>
      <c r="M730" s="12"/>
      <c r="N730" s="12"/>
      <c r="O730" s="12"/>
      <c r="P730" s="17" t="e">
        <f>SUM(J731:M731,R731:AA731)</f>
        <v>#N/A</v>
      </c>
      <c r="Q730" s="17">
        <f t="shared" si="43"/>
        <v>0</v>
      </c>
      <c r="R730" s="38" t="e">
        <f>VLOOKUP((D731),'Pwr Factor'!$A$1:$B$52,2)</f>
        <v>#N/A</v>
      </c>
      <c r="S730" s="50">
        <v>1</v>
      </c>
      <c r="T730" s="12"/>
      <c r="U730" s="12"/>
      <c r="V730" s="12"/>
      <c r="W730" s="12"/>
      <c r="X730" s="12"/>
      <c r="Y730" s="12"/>
      <c r="Z730" s="12"/>
      <c r="AA730" s="12"/>
    </row>
    <row r="731" spans="1:29" x14ac:dyDescent="0.2">
      <c r="A731" s="1" t="s">
        <v>148</v>
      </c>
      <c r="B731" s="103">
        <f>IF(AND('AES Indiana Bill Calc.'!$D$17="PH",'AES Indiana Bill Calc.'!$D$18="Yes 100%",'AES Indiana Bill Calc.'!$D$20="Yes 2022"),'AES Indiana Bill Calc.'!$D$19,-1)</f>
        <v>-1</v>
      </c>
      <c r="C731" s="103">
        <f>MAX(E731,$C$667)</f>
        <v>100</v>
      </c>
      <c r="D731" s="103" t="b">
        <f>IF(AND('AES Indiana Bill Calc.'!$D$17="PH",'AES Indiana Bill Calc.'!$D$18="Yes 100%",'AES Indiana Bill Calc.'!$D$20="Yes 2022"),'AES Indiana Bill Calc.'!$D$22)</f>
        <v>0</v>
      </c>
      <c r="E731" s="103" t="b">
        <f>IF(AND('AES Indiana Bill Calc.'!$D$17="PH",'AES Indiana Bill Calc.'!$D$18="Yes 100%",'AES Indiana Bill Calc.'!$D$20="Yes 2022"),'AES Indiana Bill Calc.'!$D$21)</f>
        <v>0</v>
      </c>
      <c r="F731" s="36" t="s">
        <v>230</v>
      </c>
      <c r="G731" s="138" t="e">
        <f>MAX(I731,P730)</f>
        <v>#N/A</v>
      </c>
      <c r="H731" s="19" t="e">
        <f>IF(ISBLANK(B731),0,+#REF!/B731)</f>
        <v>#REF!</v>
      </c>
      <c r="I731" s="115">
        <f>(E731*120*$K$666)+$J$666</f>
        <v>1250</v>
      </c>
      <c r="J731" s="51">
        <f>IF(ISBLANK(B731),0,+J$666)</f>
        <v>1250</v>
      </c>
      <c r="K731" s="16">
        <f>IF($B731&gt;K730,ROUND(K730*K$666,2),ROUND($B731*K$666,2))</f>
        <v>-0.1</v>
      </c>
      <c r="L731" s="17">
        <f>IF($B731&gt;K730,ROUND((B731-K730)*L$666,2),0)</f>
        <v>0</v>
      </c>
      <c r="M731" s="17">
        <f>IF($C731&gt;L$565,ROUND(($C731-L$565)*M$564,2),0)</f>
        <v>0</v>
      </c>
      <c r="N731" s="17">
        <f>SUM(K731:L731)</f>
        <v>-0.1</v>
      </c>
      <c r="O731" s="17"/>
      <c r="P731" s="12"/>
      <c r="Q731" s="17">
        <f t="shared" si="43"/>
        <v>0</v>
      </c>
      <c r="R731" s="16" t="e">
        <f>ROUND(SUM(K731:M731)*(R730-1),2)</f>
        <v>#N/A</v>
      </c>
      <c r="S731" s="17">
        <f>ROUND($B731*S$666*S730,2)</f>
        <v>0</v>
      </c>
      <c r="T731" s="17">
        <f>ROUND($B731*T$666,2)</f>
        <v>0</v>
      </c>
      <c r="U731" s="17">
        <f>ROUND($B731*U$666,2)</f>
        <v>0</v>
      </c>
      <c r="V731" s="17">
        <f>ROUND($B731*V$663,2)</f>
        <v>0</v>
      </c>
      <c r="W731" s="17">
        <f>ROUND($B731*W$666,2)</f>
        <v>0</v>
      </c>
      <c r="X731" s="17">
        <f>ROUND($B731*X$666,2)</f>
        <v>0</v>
      </c>
      <c r="Y731" s="17">
        <f>ROUND($B731*Y$666,2)</f>
        <v>0</v>
      </c>
      <c r="Z731" s="17">
        <f>ROUND($B731*Z$666,2)</f>
        <v>0</v>
      </c>
      <c r="AA731" s="17">
        <f>ROUND($B731*AA$666,2)</f>
        <v>0</v>
      </c>
      <c r="AB731" s="19">
        <f>SUM(U726:AA726)</f>
        <v>0</v>
      </c>
      <c r="AC731" s="67" t="str">
        <f>+F731</f>
        <v>PH2</v>
      </c>
    </row>
    <row r="732" spans="1:29" x14ac:dyDescent="0.2">
      <c r="A732" s="9"/>
      <c r="B732" s="103">
        <v>-1</v>
      </c>
      <c r="D732" s="8"/>
      <c r="E732" s="9"/>
      <c r="F732" s="36"/>
      <c r="H732" s="12"/>
      <c r="I732" s="19"/>
      <c r="J732" s="12"/>
      <c r="K732" s="43">
        <f>ROUND(C733*K$667,0)</f>
        <v>25000</v>
      </c>
      <c r="L732" s="35">
        <f>+B733-K732</f>
        <v>-25001</v>
      </c>
      <c r="M732" s="12"/>
      <c r="N732" s="12"/>
      <c r="O732" s="12"/>
      <c r="P732" s="17" t="e">
        <f>SUM(J733:M733,R733:AA733)</f>
        <v>#N/A</v>
      </c>
      <c r="Q732" s="17">
        <f t="shared" si="43"/>
        <v>0</v>
      </c>
      <c r="R732" s="38" t="e">
        <f>VLOOKUP((D733),'Pwr Factor'!$A$1:$B$52,2)</f>
        <v>#N/A</v>
      </c>
      <c r="S732" s="50">
        <v>0.5</v>
      </c>
      <c r="T732" s="12"/>
      <c r="U732" s="12"/>
      <c r="V732" s="12"/>
      <c r="W732" s="12"/>
      <c r="X732" s="12"/>
      <c r="Y732" s="12"/>
      <c r="Z732" s="12"/>
      <c r="AA732" s="12"/>
    </row>
    <row r="733" spans="1:29" x14ac:dyDescent="0.2">
      <c r="A733" s="1" t="s">
        <v>149</v>
      </c>
      <c r="B733" s="103">
        <f>IF(AND('AES Indiana Bill Calc.'!$D$17="PH",'AES Indiana Bill Calc.'!$D$18="Yes 50%",'AES Indiana Bill Calc.'!$D$20="Yes 2022"),'AES Indiana Bill Calc.'!$D$19,-1)</f>
        <v>-1</v>
      </c>
      <c r="C733" s="103">
        <f>MAX(E733,$C$667)</f>
        <v>100</v>
      </c>
      <c r="D733" s="103" t="b">
        <f>IF(AND('AES Indiana Bill Calc.'!$D$17="PH",'AES Indiana Bill Calc.'!$D$18="Yes 50%",'AES Indiana Bill Calc.'!$D$20="Yes 2022"),'AES Indiana Bill Calc.'!$D$22)</f>
        <v>0</v>
      </c>
      <c r="E733" s="103" t="b">
        <f>IF(AND('AES Indiana Bill Calc.'!$D$17="PH",'AES Indiana Bill Calc.'!$D$18="Yes 50%",'AES Indiana Bill Calc.'!$D$20="Yes 2022"),'AES Indiana Bill Calc.'!$D$21)</f>
        <v>0</v>
      </c>
      <c r="F733" s="36" t="s">
        <v>230</v>
      </c>
      <c r="G733" s="138" t="e">
        <f>MAX(I733,P732)</f>
        <v>#N/A</v>
      </c>
      <c r="H733" s="19" t="e">
        <f>IF(ISBLANK(B733),0,+#REF!/B733)</f>
        <v>#REF!</v>
      </c>
      <c r="I733" s="115">
        <f>(E733*120*$K$666)+$J$666</f>
        <v>1250</v>
      </c>
      <c r="J733" s="51">
        <f>IF(ISBLANK(B733),0,+J$666)</f>
        <v>1250</v>
      </c>
      <c r="K733" s="16">
        <f>IF($B733&gt;K732,ROUND(K732*K$666,2),ROUND($B733*K$666,2))</f>
        <v>-0.1</v>
      </c>
      <c r="L733" s="17">
        <f>IF($B733&gt;K732,ROUND((B733-K732)*L$666,2),0)</f>
        <v>0</v>
      </c>
      <c r="M733" s="17">
        <f>IF($C733&gt;L$565,ROUND(($C733-L$565)*M$564,2),0)</f>
        <v>0</v>
      </c>
      <c r="N733" s="17">
        <f>SUM(K733:L733)</f>
        <v>-0.1</v>
      </c>
      <c r="O733" s="17"/>
      <c r="P733" s="12"/>
      <c r="Q733" s="17">
        <f t="shared" si="43"/>
        <v>0</v>
      </c>
      <c r="R733" s="16" t="e">
        <f>ROUND(SUM(K733:M733)*(R732-1),2)</f>
        <v>#N/A</v>
      </c>
      <c r="S733" s="17">
        <f>ROUND($B733*S$666*S732,2)</f>
        <v>0</v>
      </c>
      <c r="T733" s="17">
        <f>ROUND($B733*T$666,2)</f>
        <v>0</v>
      </c>
      <c r="U733" s="17">
        <f>ROUND($B733*U$666,2)</f>
        <v>0</v>
      </c>
      <c r="V733" s="17">
        <f>ROUND($B733*V$663,2)</f>
        <v>0</v>
      </c>
      <c r="W733" s="17">
        <f>ROUND($B733*W$666,2)</f>
        <v>0</v>
      </c>
      <c r="X733" s="17">
        <f>ROUND($B733*X$666,2)</f>
        <v>0</v>
      </c>
      <c r="Y733" s="17">
        <f>ROUND($B733*Y$666,2)</f>
        <v>0</v>
      </c>
      <c r="Z733" s="17">
        <f>ROUND($B733*Z$666,2)</f>
        <v>0</v>
      </c>
      <c r="AA733" s="17">
        <f>ROUND($B733*AA$666,2)</f>
        <v>0</v>
      </c>
      <c r="AB733" s="19">
        <f>SUM(U728:AA728)</f>
        <v>0</v>
      </c>
      <c r="AC733" s="67" t="str">
        <f>+F733</f>
        <v>PH2</v>
      </c>
    </row>
    <row r="734" spans="1:29" x14ac:dyDescent="0.2">
      <c r="A734" s="9"/>
      <c r="B734" s="103">
        <v>-1</v>
      </c>
      <c r="D734" s="8"/>
      <c r="E734" s="9"/>
      <c r="F734" s="36"/>
      <c r="H734" s="12"/>
      <c r="I734" s="19"/>
      <c r="J734" s="12"/>
      <c r="K734" s="43">
        <f>ROUND(C735*K$667,0)</f>
        <v>25000</v>
      </c>
      <c r="L734" s="35">
        <f>+B735-K734</f>
        <v>-25001</v>
      </c>
      <c r="M734" s="12"/>
      <c r="N734" s="12"/>
      <c r="O734" s="12"/>
      <c r="P734" s="17" t="e">
        <f>SUM(J735:M735,R735:AA735)</f>
        <v>#N/A</v>
      </c>
      <c r="Q734" s="17">
        <f t="shared" si="43"/>
        <v>0</v>
      </c>
      <c r="R734" s="38" t="e">
        <f>VLOOKUP((D735),'Pwr Factor'!$A$1:$B$52,2)</f>
        <v>#N/A</v>
      </c>
      <c r="S734" s="50">
        <v>0.25</v>
      </c>
      <c r="T734" s="12"/>
      <c r="U734" s="12"/>
      <c r="V734" s="12"/>
      <c r="W734" s="12"/>
      <c r="X734" s="12"/>
      <c r="Y734" s="12"/>
      <c r="Z734" s="12"/>
      <c r="AA734" s="12"/>
    </row>
    <row r="735" spans="1:29" x14ac:dyDescent="0.2">
      <c r="A735" s="1" t="s">
        <v>150</v>
      </c>
      <c r="B735" s="103">
        <f>IF(AND('AES Indiana Bill Calc.'!$D$17="PH",'AES Indiana Bill Calc.'!$D$18="Yes 25%",'AES Indiana Bill Calc.'!$D$20="Yes 2022"),'AES Indiana Bill Calc.'!$D$19,-1)</f>
        <v>-1</v>
      </c>
      <c r="C735" s="103">
        <f>MAX(E735,$C$667)</f>
        <v>100</v>
      </c>
      <c r="D735" s="103" t="b">
        <f>IF(AND('AES Indiana Bill Calc.'!$D$17="PH",'AES Indiana Bill Calc.'!$D$18="Yes 25%",'AES Indiana Bill Calc.'!$D$20="Yes 2022"),'AES Indiana Bill Calc.'!$D$22)</f>
        <v>0</v>
      </c>
      <c r="E735" s="103" t="b">
        <f>IF(AND('AES Indiana Bill Calc.'!$D$17="PH",'AES Indiana Bill Calc.'!$D$18="Yes 25%",'AES Indiana Bill Calc.'!$D$20="Yes 2022"),'AES Indiana Bill Calc.'!$D$21)</f>
        <v>0</v>
      </c>
      <c r="F735" s="36" t="s">
        <v>230</v>
      </c>
      <c r="G735" s="138" t="e">
        <f>MAX(I735,P734)</f>
        <v>#N/A</v>
      </c>
      <c r="H735" s="19" t="e">
        <f>IF(ISBLANK(B735),0,+#REF!/B735)</f>
        <v>#REF!</v>
      </c>
      <c r="I735" s="115">
        <f>(E735*120*$K$666)+$J$666</f>
        <v>1250</v>
      </c>
      <c r="J735" s="51">
        <f>IF(ISBLANK(B735),0,+J$666)</f>
        <v>1250</v>
      </c>
      <c r="K735" s="16">
        <f>IF($B735&gt;K734,ROUND(K734*K$666,2),ROUND($B735*K$666,2))</f>
        <v>-0.1</v>
      </c>
      <c r="L735" s="17">
        <f>IF($B735&gt;K734,ROUND((B735-K734)*L$666,2),0)</f>
        <v>0</v>
      </c>
      <c r="M735" s="17">
        <f>IF($C735&gt;L$565,ROUND(($C735-L$565)*M$564,2),0)</f>
        <v>0</v>
      </c>
      <c r="N735" s="17">
        <f>SUM(K735:L735)</f>
        <v>-0.1</v>
      </c>
      <c r="O735" s="17"/>
      <c r="P735" s="12"/>
      <c r="Q735" s="17">
        <f t="shared" si="43"/>
        <v>0</v>
      </c>
      <c r="R735" s="16" t="e">
        <f>ROUND(SUM(K735:M735)*(R734-1),2)</f>
        <v>#N/A</v>
      </c>
      <c r="S735" s="17">
        <f>ROUND($B735*S$666*S734,2)</f>
        <v>0</v>
      </c>
      <c r="T735" s="17">
        <f>ROUND($B735*T$666,2)</f>
        <v>0</v>
      </c>
      <c r="U735" s="17">
        <f>ROUND($B735*U$666,2)</f>
        <v>0</v>
      </c>
      <c r="V735" s="17">
        <f>ROUND($B735*V$663,2)</f>
        <v>0</v>
      </c>
      <c r="W735" s="17">
        <f>ROUND($B735*W$666,2)</f>
        <v>0</v>
      </c>
      <c r="X735" s="17">
        <f>ROUND($B735*X$666,2)</f>
        <v>0</v>
      </c>
      <c r="Y735" s="17">
        <f>ROUND($B735*Y$666,2)</f>
        <v>0</v>
      </c>
      <c r="Z735" s="17">
        <f>ROUND($B735*Z$666,2)</f>
        <v>0</v>
      </c>
      <c r="AA735" s="17">
        <f>ROUND($B735*AA$666,2)</f>
        <v>0</v>
      </c>
      <c r="AB735" s="19">
        <f>SUM(U730:AA730)</f>
        <v>0</v>
      </c>
      <c r="AC735" s="67" t="str">
        <f>+F735</f>
        <v>PH2</v>
      </c>
    </row>
    <row r="736" spans="1:29" x14ac:dyDescent="0.2">
      <c r="A736" s="9"/>
      <c r="B736" s="103">
        <v>-1</v>
      </c>
      <c r="D736" s="8"/>
      <c r="E736" s="9"/>
      <c r="F736" s="36"/>
      <c r="H736" s="12"/>
      <c r="I736" s="19"/>
      <c r="J736" s="12"/>
      <c r="K736" s="43">
        <f>ROUND(C737*K$667,0)</f>
        <v>25000</v>
      </c>
      <c r="L736" s="35">
        <f>+B737-K736</f>
        <v>-25001</v>
      </c>
      <c r="M736" s="12"/>
      <c r="N736" s="12"/>
      <c r="O736" s="12"/>
      <c r="P736" s="17" t="e">
        <f>SUM(J737:M737,R737:AA737)</f>
        <v>#N/A</v>
      </c>
      <c r="Q736" s="17">
        <f>M736</f>
        <v>0</v>
      </c>
      <c r="R736" s="38" t="e">
        <f>VLOOKUP((D737),'Pwr Factor'!$A$1:$B$52,2)</f>
        <v>#N/A</v>
      </c>
      <c r="S736" s="50">
        <v>0.1</v>
      </c>
      <c r="T736" s="12"/>
      <c r="U736" s="12"/>
      <c r="V736" s="12"/>
      <c r="W736" s="12"/>
      <c r="X736" s="12"/>
      <c r="Y736" s="12"/>
      <c r="Z736" s="12"/>
      <c r="AA736" s="12"/>
    </row>
    <row r="737" spans="1:29" x14ac:dyDescent="0.2">
      <c r="A737" s="1" t="s">
        <v>164</v>
      </c>
      <c r="B737" s="103">
        <f>IF(AND('AES Indiana Bill Calc.'!$D$17="PH",'AES Indiana Bill Calc.'!$D$18="Yes 10%",'AES Indiana Bill Calc.'!$D$20="Yes 2022"),'AES Indiana Bill Calc.'!$D$19,-1)</f>
        <v>-1</v>
      </c>
      <c r="C737" s="103">
        <f>MAX(E737,$C$667)</f>
        <v>100</v>
      </c>
      <c r="D737" s="103" t="b">
        <f>IF(AND('AES Indiana Bill Calc.'!$D$17="PH",'AES Indiana Bill Calc.'!$D$18="Yes 10%",'AES Indiana Bill Calc.'!$D$20="Yes 2022"),'AES Indiana Bill Calc.'!$D$22)</f>
        <v>0</v>
      </c>
      <c r="E737" s="103" t="b">
        <f>IF(AND('AES Indiana Bill Calc.'!$D$17="PH",'AES Indiana Bill Calc.'!$D$18="Yes 10%",'AES Indiana Bill Calc.'!$D$20="Yes 2022"),'AES Indiana Bill Calc.'!$D$21)</f>
        <v>0</v>
      </c>
      <c r="F737" s="36" t="s">
        <v>230</v>
      </c>
      <c r="G737" s="138" t="e">
        <f>MAX(I737,P736)</f>
        <v>#N/A</v>
      </c>
      <c r="H737" s="19" t="e">
        <f>IF(ISBLANK(B737),0,+#REF!/B737)</f>
        <v>#REF!</v>
      </c>
      <c r="I737" s="115">
        <f>(E737*120*$K$666)+$J$666</f>
        <v>1250</v>
      </c>
      <c r="J737" s="51">
        <f>IF(ISBLANK(B737),0,+J$666)</f>
        <v>1250</v>
      </c>
      <c r="K737" s="16">
        <f>IF($B737&gt;K736,ROUND(K736*K$666,2),ROUND($B737*K$666,2))</f>
        <v>-0.1</v>
      </c>
      <c r="L737" s="17">
        <f>IF($B737&gt;K736,ROUND((B737-K736)*L$666,2),0)</f>
        <v>0</v>
      </c>
      <c r="M737" s="17">
        <f>IF($C737&gt;L$565,ROUND(($C737-L$565)*M$564,2),0)</f>
        <v>0</v>
      </c>
      <c r="N737" s="17">
        <f>SUM(K737:L737)</f>
        <v>-0.1</v>
      </c>
      <c r="O737" s="17"/>
      <c r="P737" s="12"/>
      <c r="Q737" s="17">
        <f>M737</f>
        <v>0</v>
      </c>
      <c r="R737" s="16" t="e">
        <f>ROUND(SUM(K737:M737)*(R736-1),2)</f>
        <v>#N/A</v>
      </c>
      <c r="S737" s="17">
        <f>ROUND($B737*S$666*S736,2)</f>
        <v>0</v>
      </c>
      <c r="T737" s="17">
        <f>ROUND($B737*T$666,2)</f>
        <v>0</v>
      </c>
      <c r="U737" s="17">
        <f>ROUND($B737*U$666,2)</f>
        <v>0</v>
      </c>
      <c r="V737" s="17">
        <f>ROUND($B737*V$663,2)</f>
        <v>0</v>
      </c>
      <c r="W737" s="17">
        <f>ROUND($B737*W$666,2)</f>
        <v>0</v>
      </c>
      <c r="X737" s="17">
        <f>ROUND($B737*X$666,2)</f>
        <v>0</v>
      </c>
      <c r="Y737" s="17">
        <f>ROUND($B737*Y$666,2)</f>
        <v>0</v>
      </c>
      <c r="Z737" s="17">
        <f>ROUND($B737*Z$666,2)</f>
        <v>0</v>
      </c>
      <c r="AA737" s="17">
        <f>ROUND($B737*AA$666,2)</f>
        <v>0</v>
      </c>
      <c r="AB737" s="19">
        <f>SUM(U732:AA732)</f>
        <v>0</v>
      </c>
      <c r="AC737" s="67" t="str">
        <f>+F737</f>
        <v>PH2</v>
      </c>
    </row>
    <row r="738" spans="1:29" x14ac:dyDescent="0.2">
      <c r="A738" s="9"/>
      <c r="B738" s="103">
        <v>-1</v>
      </c>
      <c r="D738" s="8"/>
      <c r="E738" s="9"/>
      <c r="F738" s="36"/>
      <c r="H738" s="12"/>
      <c r="I738" s="19"/>
      <c r="J738" s="12"/>
      <c r="K738" s="43">
        <f>ROUND(C739*K$667,0)</f>
        <v>25000</v>
      </c>
      <c r="L738" s="35">
        <f>+B739-K738</f>
        <v>-25001</v>
      </c>
      <c r="M738" s="12"/>
      <c r="N738" s="12"/>
      <c r="O738" s="12"/>
      <c r="P738" s="17" t="e">
        <f>SUM(J739:M739,R739:AA739)</f>
        <v>#N/A</v>
      </c>
      <c r="Q738" s="17">
        <f>M738</f>
        <v>0</v>
      </c>
      <c r="R738" s="38" t="e">
        <f>VLOOKUP((D739),'Pwr Factor'!$A$1:$B$52,2)</f>
        <v>#N/A</v>
      </c>
      <c r="S738" s="50">
        <v>0</v>
      </c>
      <c r="T738" s="12"/>
      <c r="U738" s="12"/>
      <c r="V738" s="12"/>
      <c r="W738" s="12"/>
      <c r="X738" s="12"/>
      <c r="Y738" s="12"/>
      <c r="Z738" s="12"/>
      <c r="AA738" s="12"/>
    </row>
    <row r="739" spans="1:29" x14ac:dyDescent="0.2">
      <c r="A739" s="1" t="s">
        <v>147</v>
      </c>
      <c r="B739" s="103">
        <f>IF(AND('AES Indiana Bill Calc.'!$D$17="PH",'AES Indiana Bill Calc.'!$D$18="No",'AES Indiana Bill Calc.'!$D$20="Yes 2022"),'AES Indiana Bill Calc.'!$D$19,-1)</f>
        <v>-1</v>
      </c>
      <c r="C739" s="103">
        <f>MAX(E739,$C$667)</f>
        <v>100</v>
      </c>
      <c r="D739" s="103" t="b">
        <f>IF(AND('AES Indiana Bill Calc.'!$D$17="PH",'AES Indiana Bill Calc.'!$D$18="No",'AES Indiana Bill Calc.'!$D$20="Yes 2022"),'AES Indiana Bill Calc.'!$D$22)</f>
        <v>0</v>
      </c>
      <c r="E739" s="103" t="b">
        <f>IF(AND('AES Indiana Bill Calc.'!$D$17="PH",'AES Indiana Bill Calc.'!$D$18="No",'AES Indiana Bill Calc.'!$D$20="Yes 2022"),'AES Indiana Bill Calc.'!$D$21)</f>
        <v>0</v>
      </c>
      <c r="F739" s="36" t="s">
        <v>230</v>
      </c>
      <c r="G739" s="138" t="e">
        <f>MAX(I739,P738)</f>
        <v>#N/A</v>
      </c>
      <c r="H739" s="19" t="e">
        <f>IF(ISBLANK(B739),0,+#REF!/B739)</f>
        <v>#REF!</v>
      </c>
      <c r="I739" s="115">
        <f>(E739*120*$K$666)+$J$666</f>
        <v>1250</v>
      </c>
      <c r="J739" s="51">
        <f>IF(ISBLANK(B739),0,+J$666)</f>
        <v>1250</v>
      </c>
      <c r="K739" s="16">
        <f>IF($B739&gt;K738,ROUND(K738*K$666,2),ROUND($B739*K$666,2))</f>
        <v>-0.1</v>
      </c>
      <c r="L739" s="17">
        <f>IF($B739&gt;K738,ROUND((B739-K738)*L$666,2),0)</f>
        <v>0</v>
      </c>
      <c r="M739" s="17">
        <f>IF($C739&gt;L$565,ROUND(($C739-L$565)*M$564,2),0)</f>
        <v>0</v>
      </c>
      <c r="N739" s="17">
        <f>SUM(K739:L739)</f>
        <v>-0.1</v>
      </c>
      <c r="O739" s="17"/>
      <c r="P739" s="17"/>
      <c r="Q739" s="17">
        <f>M739</f>
        <v>0</v>
      </c>
      <c r="R739" s="16" t="e">
        <f>ROUND(SUM(K739:M739)*(R738-1),2)</f>
        <v>#N/A</v>
      </c>
      <c r="S739" s="17">
        <f>ROUND($B739*S$666*S738,2)</f>
        <v>0</v>
      </c>
      <c r="T739" s="17">
        <f>ROUND($B739*T$666,2)</f>
        <v>0</v>
      </c>
      <c r="U739" s="17">
        <f>ROUND($B739*U$666,2)</f>
        <v>0</v>
      </c>
      <c r="V739" s="17">
        <f>ROUND($B739*V$663,2)</f>
        <v>0</v>
      </c>
      <c r="W739" s="17">
        <f>ROUND($B739*W$666,2)</f>
        <v>0</v>
      </c>
      <c r="X739" s="17">
        <f>ROUND($B739*X$666,2)</f>
        <v>0</v>
      </c>
      <c r="Y739" s="17">
        <f>ROUND($B739*Y$666,2)</f>
        <v>0</v>
      </c>
      <c r="Z739" s="17">
        <f>ROUND($B739*Z$666,2)</f>
        <v>0</v>
      </c>
      <c r="AA739" s="17">
        <f>ROUND($B739*AA$666,2)</f>
        <v>0</v>
      </c>
      <c r="AB739" s="19">
        <f>SUM(U734:AA734)</f>
        <v>0</v>
      </c>
      <c r="AC739" s="67" t="str">
        <f>+F739</f>
        <v>PH2</v>
      </c>
    </row>
    <row r="740" spans="1:29" x14ac:dyDescent="0.2">
      <c r="A740" s="9"/>
      <c r="B740" s="103">
        <v>-1</v>
      </c>
      <c r="D740" s="8"/>
      <c r="E740" s="9"/>
      <c r="F740" s="36"/>
      <c r="H740" s="12"/>
      <c r="I740" s="19"/>
      <c r="J740" s="12"/>
      <c r="K740" s="43">
        <f>ROUND(C741*K$667,0)</f>
        <v>25000</v>
      </c>
      <c r="L740" s="35">
        <f>+B741-K740</f>
        <v>-25001</v>
      </c>
      <c r="M740" s="12"/>
      <c r="N740" s="12"/>
      <c r="O740" s="12"/>
      <c r="P740" s="17" t="e">
        <f>SUM(J741:M741,R741:AA741)</f>
        <v>#N/A</v>
      </c>
      <c r="Q740" s="17">
        <f t="shared" ref="Q740:Q745" si="48">M740</f>
        <v>0</v>
      </c>
      <c r="R740" s="38" t="e">
        <f>VLOOKUP((D741),'Pwr Factor'!$A$1:$B$52,2)</f>
        <v>#N/A</v>
      </c>
      <c r="S740" s="50">
        <v>1</v>
      </c>
      <c r="T740" s="12"/>
      <c r="U740" s="12"/>
      <c r="V740" s="12"/>
      <c r="W740" s="12"/>
      <c r="X740" s="12"/>
      <c r="Y740" s="12"/>
      <c r="Z740" s="12"/>
      <c r="AA740" s="12"/>
    </row>
    <row r="741" spans="1:29" x14ac:dyDescent="0.2">
      <c r="A741" s="1" t="s">
        <v>148</v>
      </c>
      <c r="B741" s="103">
        <f>IF(AND('AES Indiana Bill Calc.'!$D$17="PH",'AES Indiana Bill Calc.'!$D$18="Yes 100%",'AES Indiana Bill Calc.'!$D$20="Yes 2023"),'AES Indiana Bill Calc.'!$D$19,-1)</f>
        <v>-1</v>
      </c>
      <c r="C741" s="103">
        <f>MAX(E741,$C$667)</f>
        <v>100</v>
      </c>
      <c r="D741" s="103" t="b">
        <f>IF(AND('AES Indiana Bill Calc.'!$D$17="PH",'AES Indiana Bill Calc.'!$D$18="Yes 100%",'AES Indiana Bill Calc.'!$D$20="Yes 2023"),'AES Indiana Bill Calc.'!$D$22)</f>
        <v>0</v>
      </c>
      <c r="E741" s="103" t="b">
        <f>IF(AND('AES Indiana Bill Calc.'!$D$17="PH",'AES Indiana Bill Calc.'!$D$18="Yes 100%",'AES Indiana Bill Calc.'!$D$20="Yes 2023"),'AES Indiana Bill Calc.'!$D$21)</f>
        <v>0</v>
      </c>
      <c r="F741" s="36" t="s">
        <v>231</v>
      </c>
      <c r="G741" s="138" t="e">
        <f>MAX(I741,P740)</f>
        <v>#N/A</v>
      </c>
      <c r="H741" s="19" t="e">
        <f>IF(ISBLANK(B741),0,+#REF!/B741)</f>
        <v>#REF!</v>
      </c>
      <c r="I741" s="115">
        <f>(E741*120*$K$666)+$J$666</f>
        <v>1250</v>
      </c>
      <c r="J741" s="51">
        <f>IF(ISBLANK(B741),0,+J$666)</f>
        <v>1250</v>
      </c>
      <c r="K741" s="16">
        <f>IF($B741&gt;K740,ROUND(K740*K$666,2),ROUND($B741*K$666,2))</f>
        <v>-0.1</v>
      </c>
      <c r="L741" s="17">
        <f>IF($B741&gt;K740,ROUND((B741-K740)*L$666,2),0)</f>
        <v>0</v>
      </c>
      <c r="M741" s="17">
        <f>IF($C741&gt;L$565,ROUND(($C741-L$565)*M$564,2),0)</f>
        <v>0</v>
      </c>
      <c r="N741" s="17">
        <f>SUM(K741:L741)</f>
        <v>-0.1</v>
      </c>
      <c r="O741" s="17"/>
      <c r="P741" s="12"/>
      <c r="Q741" s="17">
        <f t="shared" si="48"/>
        <v>0</v>
      </c>
      <c r="R741" s="16" t="e">
        <f>ROUND(SUM(K741:M741)*(R740-1),2)</f>
        <v>#N/A</v>
      </c>
      <c r="S741" s="17">
        <f>ROUND($B741*S$666*S740,2)</f>
        <v>0</v>
      </c>
      <c r="T741" s="17">
        <f>ROUND($B741*T$666,2)</f>
        <v>0</v>
      </c>
      <c r="U741" s="17">
        <f>ROUND($B741*U$666,2)</f>
        <v>0</v>
      </c>
      <c r="V741" s="17">
        <f>ROUND($B741*V$664,2)</f>
        <v>0</v>
      </c>
      <c r="W741" s="17">
        <f>ROUND($B741*W$666,2)</f>
        <v>0</v>
      </c>
      <c r="X741" s="17">
        <f>ROUND($B741*X$666,2)</f>
        <v>0</v>
      </c>
      <c r="Y741" s="17">
        <f>ROUND($B741*Y$666,2)</f>
        <v>0</v>
      </c>
      <c r="Z741" s="17">
        <f>ROUND($B741*Z$666,2)</f>
        <v>0</v>
      </c>
      <c r="AA741" s="17">
        <f>ROUND($B741*AA$666,2)</f>
        <v>0</v>
      </c>
      <c r="AB741" s="19">
        <f>SUM(U736:AA736)</f>
        <v>0</v>
      </c>
      <c r="AC741" s="67" t="str">
        <f>+F741</f>
        <v>PH3</v>
      </c>
    </row>
    <row r="742" spans="1:29" x14ac:dyDescent="0.2">
      <c r="A742" s="9"/>
      <c r="B742" s="103">
        <v>-1</v>
      </c>
      <c r="D742" s="8"/>
      <c r="E742" s="9"/>
      <c r="F742" s="36"/>
      <c r="H742" s="12"/>
      <c r="I742" s="19"/>
      <c r="J742" s="12"/>
      <c r="K742" s="43">
        <f>ROUND(C743*K$667,0)</f>
        <v>25000</v>
      </c>
      <c r="L742" s="35">
        <f>+B743-K742</f>
        <v>-25001</v>
      </c>
      <c r="M742" s="12"/>
      <c r="N742" s="12"/>
      <c r="O742" s="12"/>
      <c r="P742" s="17" t="e">
        <f>SUM(J743:M743,R743:AA743)</f>
        <v>#N/A</v>
      </c>
      <c r="Q742" s="17">
        <f t="shared" si="48"/>
        <v>0</v>
      </c>
      <c r="R742" s="38" t="e">
        <f>VLOOKUP((D743),'Pwr Factor'!$A$1:$B$52,2)</f>
        <v>#N/A</v>
      </c>
      <c r="S742" s="50">
        <v>0.5</v>
      </c>
      <c r="T742" s="12"/>
      <c r="U742" s="12"/>
      <c r="V742" s="12"/>
      <c r="W742" s="12"/>
      <c r="X742" s="12"/>
      <c r="Y742" s="12"/>
      <c r="Z742" s="12"/>
      <c r="AA742" s="12"/>
    </row>
    <row r="743" spans="1:29" x14ac:dyDescent="0.2">
      <c r="A743" s="1" t="s">
        <v>149</v>
      </c>
      <c r="B743" s="103">
        <f>IF(AND('AES Indiana Bill Calc.'!$D$17="PH",'AES Indiana Bill Calc.'!$D$18="Yes 50%",'AES Indiana Bill Calc.'!$D$20="Yes 2023"),'AES Indiana Bill Calc.'!$D$19,-1)</f>
        <v>-1</v>
      </c>
      <c r="C743" s="103">
        <f>MAX(E743,$C$667)</f>
        <v>100</v>
      </c>
      <c r="D743" s="103" t="b">
        <f>IF(AND('AES Indiana Bill Calc.'!$D$17="PH",'AES Indiana Bill Calc.'!$D$18="Yes 50%",'AES Indiana Bill Calc.'!$D$20="Yes 2023"),'AES Indiana Bill Calc.'!$D$22)</f>
        <v>0</v>
      </c>
      <c r="E743" s="103" t="b">
        <f>IF(AND('AES Indiana Bill Calc.'!$D$17="PH",'AES Indiana Bill Calc.'!$D$18="Yes 50%",'AES Indiana Bill Calc.'!$D$20="Yes 2023"),'AES Indiana Bill Calc.'!$D$21)</f>
        <v>0</v>
      </c>
      <c r="F743" s="36" t="s">
        <v>231</v>
      </c>
      <c r="G743" s="138" t="e">
        <f>MAX(I743,P742)</f>
        <v>#N/A</v>
      </c>
      <c r="H743" s="19" t="e">
        <f>IF(ISBLANK(B743),0,+#REF!/B743)</f>
        <v>#REF!</v>
      </c>
      <c r="I743" s="115">
        <f>(E743*120*$K$666)+$J$666</f>
        <v>1250</v>
      </c>
      <c r="J743" s="51">
        <f>IF(ISBLANK(B743),0,+J$666)</f>
        <v>1250</v>
      </c>
      <c r="K743" s="16">
        <f>IF($B743&gt;K742,ROUND(K742*K$666,2),ROUND($B743*K$666,2))</f>
        <v>-0.1</v>
      </c>
      <c r="L743" s="17">
        <f>IF($B743&gt;K742,ROUND((B743-K742)*L$666,2),0)</f>
        <v>0</v>
      </c>
      <c r="M743" s="17">
        <f>IF($C743&gt;L$565,ROUND(($C743-L$565)*M$564,2),0)</f>
        <v>0</v>
      </c>
      <c r="N743" s="17">
        <f>SUM(K743:L743)</f>
        <v>-0.1</v>
      </c>
      <c r="O743" s="17"/>
      <c r="P743" s="12"/>
      <c r="Q743" s="17">
        <f t="shared" si="48"/>
        <v>0</v>
      </c>
      <c r="R743" s="16" t="e">
        <f>ROUND(SUM(K743:M743)*(R742-1),2)</f>
        <v>#N/A</v>
      </c>
      <c r="S743" s="17">
        <f>ROUND($B743*S$666*S742,2)</f>
        <v>0</v>
      </c>
      <c r="T743" s="17">
        <f>ROUND($B743*T$666,2)</f>
        <v>0</v>
      </c>
      <c r="U743" s="17">
        <f>ROUND($B743*U$666,2)</f>
        <v>0</v>
      </c>
      <c r="V743" s="17">
        <f>ROUND($B743*V$664,2)</f>
        <v>0</v>
      </c>
      <c r="W743" s="17">
        <f>ROUND($B743*W$666,2)</f>
        <v>0</v>
      </c>
      <c r="X743" s="17">
        <f>ROUND($B743*X$666,2)</f>
        <v>0</v>
      </c>
      <c r="Y743" s="17">
        <f>ROUND($B743*Y$666,2)</f>
        <v>0</v>
      </c>
      <c r="Z743" s="17">
        <f>ROUND($B743*Z$666,2)</f>
        <v>0</v>
      </c>
      <c r="AA743" s="17">
        <f>ROUND($B743*AA$666,2)</f>
        <v>0</v>
      </c>
      <c r="AB743" s="19">
        <f>SUM(U738:AA738)</f>
        <v>0</v>
      </c>
      <c r="AC743" s="67" t="str">
        <f>+F743</f>
        <v>PH3</v>
      </c>
    </row>
    <row r="744" spans="1:29" x14ac:dyDescent="0.2">
      <c r="A744" s="9"/>
      <c r="B744" s="103">
        <v>-1</v>
      </c>
      <c r="D744" s="8"/>
      <c r="E744" s="9"/>
      <c r="F744" s="36"/>
      <c r="H744" s="12"/>
      <c r="I744" s="19"/>
      <c r="J744" s="12"/>
      <c r="K744" s="43">
        <f>ROUND(C745*K$667,0)</f>
        <v>25000</v>
      </c>
      <c r="L744" s="35">
        <f>+B745-K744</f>
        <v>-25001</v>
      </c>
      <c r="M744" s="12"/>
      <c r="N744" s="12"/>
      <c r="O744" s="12"/>
      <c r="P744" s="17" t="e">
        <f>SUM(J745:M745,R745:AA745)</f>
        <v>#N/A</v>
      </c>
      <c r="Q744" s="17">
        <f t="shared" si="48"/>
        <v>0</v>
      </c>
      <c r="R744" s="38" t="e">
        <f>VLOOKUP((D745),'Pwr Factor'!$A$1:$B$52,2)</f>
        <v>#N/A</v>
      </c>
      <c r="S744" s="50">
        <v>0.25</v>
      </c>
      <c r="T744" s="12"/>
      <c r="U744" s="12"/>
      <c r="V744" s="12"/>
      <c r="W744" s="12"/>
      <c r="X744" s="12"/>
      <c r="Y744" s="12"/>
      <c r="Z744" s="12"/>
      <c r="AA744" s="12"/>
    </row>
    <row r="745" spans="1:29" x14ac:dyDescent="0.2">
      <c r="A745" s="1" t="s">
        <v>150</v>
      </c>
      <c r="B745" s="103">
        <f>IF(AND('AES Indiana Bill Calc.'!$D$17="PH",'AES Indiana Bill Calc.'!$D$18="Yes 25%",'AES Indiana Bill Calc.'!$D$20="Yes 2023"),'AES Indiana Bill Calc.'!$D$19,-1)</f>
        <v>-1</v>
      </c>
      <c r="C745" s="103">
        <f>MAX(E745,$C$667)</f>
        <v>100</v>
      </c>
      <c r="D745" s="103" t="b">
        <f>IF(AND('AES Indiana Bill Calc.'!$D$17="PH",'AES Indiana Bill Calc.'!$D$18="Yes 25%",'AES Indiana Bill Calc.'!$D$20="Yes 2023"),'AES Indiana Bill Calc.'!$D$22)</f>
        <v>0</v>
      </c>
      <c r="E745" s="103" t="b">
        <f>IF(AND('AES Indiana Bill Calc.'!$D$17="PH",'AES Indiana Bill Calc.'!$D$18="Yes 25%",'AES Indiana Bill Calc.'!$D$20="Yes 2023"),'AES Indiana Bill Calc.'!$D$21)</f>
        <v>0</v>
      </c>
      <c r="F745" s="36" t="s">
        <v>231</v>
      </c>
      <c r="G745" s="138" t="e">
        <f>MAX(I745,P744)</f>
        <v>#N/A</v>
      </c>
      <c r="H745" s="19" t="e">
        <f>IF(ISBLANK(B745),0,+#REF!/B745)</f>
        <v>#REF!</v>
      </c>
      <c r="I745" s="115">
        <f>(E745*120*$K$666)+$J$666</f>
        <v>1250</v>
      </c>
      <c r="J745" s="51">
        <f>IF(ISBLANK(B745),0,+J$666)</f>
        <v>1250</v>
      </c>
      <c r="K745" s="16">
        <f>IF($B745&gt;K744,ROUND(K744*K$666,2),ROUND($B745*K$666,2))</f>
        <v>-0.1</v>
      </c>
      <c r="L745" s="17">
        <f>IF($B745&gt;K744,ROUND((B745-K744)*L$666,2),0)</f>
        <v>0</v>
      </c>
      <c r="M745" s="17">
        <f>IF($C745&gt;L$565,ROUND(($C745-L$565)*M$564,2),0)</f>
        <v>0</v>
      </c>
      <c r="N745" s="17">
        <f>SUM(K745:L745)</f>
        <v>-0.1</v>
      </c>
      <c r="O745" s="17"/>
      <c r="P745" s="12"/>
      <c r="Q745" s="17">
        <f t="shared" si="48"/>
        <v>0</v>
      </c>
      <c r="R745" s="16" t="e">
        <f>ROUND(SUM(K745:M745)*(R744-1),2)</f>
        <v>#N/A</v>
      </c>
      <c r="S745" s="17">
        <f>ROUND($B745*S$666*S744,2)</f>
        <v>0</v>
      </c>
      <c r="T745" s="17">
        <f>ROUND($B745*T$666,2)</f>
        <v>0</v>
      </c>
      <c r="U745" s="17">
        <f>ROUND($B745*U$666,2)</f>
        <v>0</v>
      </c>
      <c r="V745" s="17">
        <f>ROUND($B745*V$664,2)</f>
        <v>0</v>
      </c>
      <c r="W745" s="17">
        <f>ROUND($B745*W$666,2)</f>
        <v>0</v>
      </c>
      <c r="X745" s="17">
        <f>ROUND($B745*X$666,2)</f>
        <v>0</v>
      </c>
      <c r="Y745" s="17">
        <f>ROUND($B745*Y$666,2)</f>
        <v>0</v>
      </c>
      <c r="Z745" s="17">
        <f>ROUND($B745*Z$666,2)</f>
        <v>0</v>
      </c>
      <c r="AA745" s="17">
        <f>ROUND($B745*AA$666,2)</f>
        <v>0</v>
      </c>
      <c r="AB745" s="19">
        <f>SUM(U740:AA740)</f>
        <v>0</v>
      </c>
      <c r="AC745" s="67" t="str">
        <f>+F745</f>
        <v>PH3</v>
      </c>
    </row>
    <row r="746" spans="1:29" x14ac:dyDescent="0.2">
      <c r="A746" s="9"/>
      <c r="B746" s="103">
        <v>-1</v>
      </c>
      <c r="D746" s="8"/>
      <c r="E746" s="9"/>
      <c r="F746" s="36"/>
      <c r="H746" s="12"/>
      <c r="I746" s="19"/>
      <c r="J746" s="12"/>
      <c r="K746" s="43">
        <f>ROUND(C747*K$667,0)</f>
        <v>25000</v>
      </c>
      <c r="L746" s="35">
        <f>+B747-K746</f>
        <v>-25001</v>
      </c>
      <c r="M746" s="12"/>
      <c r="N746" s="12"/>
      <c r="O746" s="12"/>
      <c r="P746" s="17" t="e">
        <f>SUM(J747:M747,R747:AA747)</f>
        <v>#N/A</v>
      </c>
      <c r="Q746" s="17">
        <f>M746</f>
        <v>0</v>
      </c>
      <c r="R746" s="38" t="e">
        <f>VLOOKUP((D747),'Pwr Factor'!$A$1:$B$52,2)</f>
        <v>#N/A</v>
      </c>
      <c r="S746" s="50">
        <v>0.1</v>
      </c>
      <c r="T746" s="12"/>
      <c r="U746" s="12"/>
      <c r="V746" s="12"/>
      <c r="W746" s="12"/>
      <c r="X746" s="12"/>
      <c r="Y746" s="12"/>
      <c r="Z746" s="12"/>
      <c r="AA746" s="12"/>
    </row>
    <row r="747" spans="1:29" x14ac:dyDescent="0.2">
      <c r="A747" s="1" t="s">
        <v>164</v>
      </c>
      <c r="B747" s="103">
        <f>IF(AND('AES Indiana Bill Calc.'!$D$17="PH",'AES Indiana Bill Calc.'!$D$18="Yes 10%",'AES Indiana Bill Calc.'!$D$20="Yes 2023"),'AES Indiana Bill Calc.'!$D$19,-1)</f>
        <v>-1</v>
      </c>
      <c r="C747" s="103">
        <f>MAX(E747,$C$667)</f>
        <v>100</v>
      </c>
      <c r="D747" s="103" t="b">
        <f>IF(AND('AES Indiana Bill Calc.'!$D$17="PH",'AES Indiana Bill Calc.'!$D$18="Yes 10%",'AES Indiana Bill Calc.'!$D$20="Yes 2023"),'AES Indiana Bill Calc.'!$D$22)</f>
        <v>0</v>
      </c>
      <c r="E747" s="103" t="b">
        <f>IF(AND('AES Indiana Bill Calc.'!$D$17="PH",'AES Indiana Bill Calc.'!$D$18="Yes 10%",'AES Indiana Bill Calc.'!$D$20="Yes 2023"),'AES Indiana Bill Calc.'!$D$21)</f>
        <v>0</v>
      </c>
      <c r="F747" s="36" t="s">
        <v>231</v>
      </c>
      <c r="G747" s="138" t="e">
        <f>MAX(I747,P746)</f>
        <v>#N/A</v>
      </c>
      <c r="H747" s="19" t="e">
        <f>IF(ISBLANK(B747),0,+#REF!/B747)</f>
        <v>#REF!</v>
      </c>
      <c r="I747" s="115">
        <f>(E747*120*$K$666)+$J$666</f>
        <v>1250</v>
      </c>
      <c r="J747" s="51">
        <f>IF(ISBLANK(B747),0,+J$666)</f>
        <v>1250</v>
      </c>
      <c r="K747" s="16">
        <f>IF($B747&gt;K746,ROUND(K746*K$666,2),ROUND($B747*K$666,2))</f>
        <v>-0.1</v>
      </c>
      <c r="L747" s="17">
        <f>IF($B747&gt;K746,ROUND((B747-K746)*L$666,2),0)</f>
        <v>0</v>
      </c>
      <c r="M747" s="17">
        <f>IF($C747&gt;L$565,ROUND(($C747-L$565)*M$564,2),0)</f>
        <v>0</v>
      </c>
      <c r="N747" s="17">
        <f>SUM(K747:L747)</f>
        <v>-0.1</v>
      </c>
      <c r="O747" s="17"/>
      <c r="P747" s="12"/>
      <c r="Q747" s="17">
        <f>M747</f>
        <v>0</v>
      </c>
      <c r="R747" s="16" t="e">
        <f>ROUND(SUM(K747:M747)*(R746-1),2)</f>
        <v>#N/A</v>
      </c>
      <c r="S747" s="17">
        <f>ROUND($B747*S$666*S746,2)</f>
        <v>0</v>
      </c>
      <c r="T747" s="17">
        <f>ROUND($B747*T$666,2)</f>
        <v>0</v>
      </c>
      <c r="U747" s="17">
        <f>ROUND($B747*U$666,2)</f>
        <v>0</v>
      </c>
      <c r="V747" s="17">
        <f>ROUND($B747*V$664,2)</f>
        <v>0</v>
      </c>
      <c r="W747" s="17">
        <f>ROUND($B747*W$666,2)</f>
        <v>0</v>
      </c>
      <c r="X747" s="17">
        <f>ROUND($B747*X$666,2)</f>
        <v>0</v>
      </c>
      <c r="Y747" s="17">
        <f>ROUND($B747*Y$666,2)</f>
        <v>0</v>
      </c>
      <c r="Z747" s="17">
        <f>ROUND($B747*Z$666,2)</f>
        <v>0</v>
      </c>
      <c r="AA747" s="17">
        <f>ROUND($B747*AA$666,2)</f>
        <v>0</v>
      </c>
      <c r="AB747" s="19">
        <f>SUM(U742:AA742)</f>
        <v>0</v>
      </c>
      <c r="AC747" s="67" t="str">
        <f>+F747</f>
        <v>PH3</v>
      </c>
    </row>
    <row r="748" spans="1:29" x14ac:dyDescent="0.2">
      <c r="A748" s="9"/>
      <c r="B748" s="103">
        <v>-1</v>
      </c>
      <c r="D748" s="8"/>
      <c r="E748" s="9"/>
      <c r="F748" s="36"/>
      <c r="H748" s="12"/>
      <c r="I748" s="19"/>
      <c r="J748" s="12"/>
      <c r="K748" s="43">
        <f>ROUND(C749*K$667,0)</f>
        <v>25000</v>
      </c>
      <c r="L748" s="35">
        <f>+B749-K748</f>
        <v>-25001</v>
      </c>
      <c r="M748" s="12"/>
      <c r="N748" s="12"/>
      <c r="O748" s="12"/>
      <c r="P748" s="17" t="e">
        <f>SUM(J749:M749,R749:AA749)</f>
        <v>#N/A</v>
      </c>
      <c r="Q748" s="17">
        <f>M748</f>
        <v>0</v>
      </c>
      <c r="R748" s="38" t="e">
        <f>VLOOKUP((D749),'Pwr Factor'!$A$1:$B$52,2)</f>
        <v>#N/A</v>
      </c>
      <c r="S748" s="50">
        <v>0</v>
      </c>
      <c r="T748" s="12"/>
      <c r="U748" s="12"/>
      <c r="V748" s="143"/>
      <c r="W748" s="12"/>
      <c r="X748" s="12"/>
      <c r="Y748" s="12"/>
      <c r="Z748" s="12"/>
      <c r="AA748" s="12"/>
    </row>
    <row r="749" spans="1:29" x14ac:dyDescent="0.2">
      <c r="A749" s="1" t="s">
        <v>147</v>
      </c>
      <c r="B749" s="103">
        <f>IF(AND('AES Indiana Bill Calc.'!$D$17="PH",'AES Indiana Bill Calc.'!$D$18="No",'AES Indiana Bill Calc.'!$D$20="Yes 2023"),'AES Indiana Bill Calc.'!$D$19,-1)</f>
        <v>-1</v>
      </c>
      <c r="C749" s="103">
        <f>MAX(E749,$C$667)</f>
        <v>100</v>
      </c>
      <c r="D749" s="103" t="b">
        <f>IF(AND('AES Indiana Bill Calc.'!$D$17="PH",'AES Indiana Bill Calc.'!$D$18="No",'AES Indiana Bill Calc.'!$D$20="Yes 2023"),'AES Indiana Bill Calc.'!$D$22)</f>
        <v>0</v>
      </c>
      <c r="E749" s="103" t="b">
        <f>IF(AND('AES Indiana Bill Calc.'!$D$17="PH",'AES Indiana Bill Calc.'!$D$18="No",'AES Indiana Bill Calc.'!$D$20="Yes 2023"),'AES Indiana Bill Calc.'!$D$21)</f>
        <v>0</v>
      </c>
      <c r="F749" s="36" t="s">
        <v>231</v>
      </c>
      <c r="G749" s="138" t="e">
        <f>MAX(I749,P748)</f>
        <v>#N/A</v>
      </c>
      <c r="H749" s="19" t="e">
        <f>IF(ISBLANK(B749),0,+#REF!/B749)</f>
        <v>#REF!</v>
      </c>
      <c r="I749" s="115">
        <f>(E749*120*$K$666)+$J$666</f>
        <v>1250</v>
      </c>
      <c r="J749" s="51">
        <f>IF(ISBLANK(B749),0,+J$666)</f>
        <v>1250</v>
      </c>
      <c r="K749" s="16">
        <f>IF($B749&gt;K748,ROUND(K748*K$666,2),ROUND($B749*K$666,2))</f>
        <v>-0.1</v>
      </c>
      <c r="L749" s="17">
        <f>IF($B749&gt;K748,ROUND((B749-K748)*L$666,2),0)</f>
        <v>0</v>
      </c>
      <c r="M749" s="17">
        <f>IF($C749&gt;L$565,ROUND(($C749-L$565)*M$564,2),0)</f>
        <v>0</v>
      </c>
      <c r="N749" s="17">
        <f>SUM(K749:L749)</f>
        <v>-0.1</v>
      </c>
      <c r="O749" s="17"/>
      <c r="P749" s="17"/>
      <c r="Q749" s="17">
        <f>M749</f>
        <v>0</v>
      </c>
      <c r="R749" s="16" t="e">
        <f>ROUND(SUM(K749:M749)*(R748-1),2)</f>
        <v>#N/A</v>
      </c>
      <c r="S749" s="17">
        <f>ROUND($B749*S$666*S748,2)</f>
        <v>0</v>
      </c>
      <c r="T749" s="17">
        <f>ROUND($B749*T$666,2)</f>
        <v>0</v>
      </c>
      <c r="U749" s="17">
        <f>ROUND($B749*U$666,2)</f>
        <v>0</v>
      </c>
      <c r="V749" s="17">
        <f>ROUND($B749*V$664,2)</f>
        <v>0</v>
      </c>
      <c r="W749" s="17">
        <f>ROUND($B749*W$666,2)</f>
        <v>0</v>
      </c>
      <c r="X749" s="17">
        <f>ROUND($B749*X$666,2)</f>
        <v>0</v>
      </c>
      <c r="Y749" s="17">
        <f>ROUND($B749*Y$666,2)</f>
        <v>0</v>
      </c>
      <c r="Z749" s="17">
        <f>ROUND($B749*Z$666,2)</f>
        <v>0</v>
      </c>
      <c r="AA749" s="17">
        <f>ROUND($B749*AA$666,2)</f>
        <v>0</v>
      </c>
      <c r="AB749" s="19">
        <f>SUM(U744:AA744)</f>
        <v>0</v>
      </c>
      <c r="AC749" s="67" t="str">
        <f>+F749</f>
        <v>PH3</v>
      </c>
    </row>
    <row r="750" spans="1:29" x14ac:dyDescent="0.2">
      <c r="A750" s="9"/>
      <c r="B750" s="103">
        <v>-1</v>
      </c>
      <c r="D750" s="8"/>
      <c r="E750" s="9"/>
      <c r="F750" s="36"/>
      <c r="H750" s="12"/>
      <c r="I750" s="19"/>
      <c r="J750" s="12"/>
      <c r="K750" s="43">
        <f>ROUND(C751*K$667,0)</f>
        <v>25000</v>
      </c>
      <c r="L750" s="35">
        <f>+B751-K750</f>
        <v>-25001</v>
      </c>
      <c r="M750" s="12"/>
      <c r="N750" s="12"/>
      <c r="O750" s="12"/>
      <c r="P750" s="17" t="e">
        <f>SUM(J751:M751,R751:AA751)</f>
        <v>#N/A</v>
      </c>
      <c r="Q750" s="17">
        <f t="shared" ref="Q750:Q755" si="49">M750</f>
        <v>0</v>
      </c>
      <c r="R750" s="38" t="e">
        <f>VLOOKUP((D751),'Pwr Factor'!$A$1:$B$52,2)</f>
        <v>#N/A</v>
      </c>
      <c r="S750" s="50">
        <v>1</v>
      </c>
      <c r="T750" s="12"/>
      <c r="U750" s="12"/>
      <c r="V750" s="12"/>
      <c r="W750" s="12"/>
      <c r="X750" s="12"/>
      <c r="Y750" s="12"/>
      <c r="Z750" s="12"/>
      <c r="AA750" s="12"/>
    </row>
    <row r="751" spans="1:29" x14ac:dyDescent="0.2">
      <c r="A751" s="1" t="s">
        <v>148</v>
      </c>
      <c r="B751" s="103">
        <f>IF(AND('AES Indiana Bill Calc.'!$D$17="PH",'AES Indiana Bill Calc.'!$D$18="Yes 100%",'AES Indiana Bill Calc.'!$D$20="Yes 2024"),'AES Indiana Bill Calc.'!$D$19,-1)</f>
        <v>-1</v>
      </c>
      <c r="C751" s="103">
        <f>MAX(E751,$C$667)</f>
        <v>100</v>
      </c>
      <c r="D751" s="103" t="b">
        <f>IF(AND('AES Indiana Bill Calc.'!$D$17="PH",'AES Indiana Bill Calc.'!$D$18="Yes 100%",'AES Indiana Bill Calc.'!$D$20="Yes 2024"),'AES Indiana Bill Calc.'!$D$22)</f>
        <v>0</v>
      </c>
      <c r="E751" s="103" t="b">
        <f>IF(AND('AES Indiana Bill Calc.'!$D$17="PH",'AES Indiana Bill Calc.'!$D$18="Yes 100%",'AES Indiana Bill Calc.'!$D$20="Yes 2024"),'AES Indiana Bill Calc.'!$D$21)</f>
        <v>0</v>
      </c>
      <c r="F751" s="36" t="s">
        <v>304</v>
      </c>
      <c r="G751" s="138" t="e">
        <f>MAX(I751,P750)</f>
        <v>#N/A</v>
      </c>
      <c r="H751" s="19" t="e">
        <f>IF(ISBLANK(B751),0,+#REF!/B751)</f>
        <v>#REF!</v>
      </c>
      <c r="I751" s="115">
        <f>(E751*120*$K$666)+$J$666</f>
        <v>1250</v>
      </c>
      <c r="J751" s="51">
        <f>IF(ISBLANK(B751),0,+J$666)</f>
        <v>1250</v>
      </c>
      <c r="K751" s="16">
        <f>IF($B751&gt;K750,ROUND(K750*K$666,2),ROUND($B751*K$666,2))</f>
        <v>-0.1</v>
      </c>
      <c r="L751" s="17">
        <f>IF($B751&gt;K750,ROUND((B751-K750)*L$666,2),0)</f>
        <v>0</v>
      </c>
      <c r="M751" s="17">
        <f>IF($C751&gt;L$565,ROUND(($C751-L$565)*M$564,2),0)</f>
        <v>0</v>
      </c>
      <c r="N751" s="17">
        <f>SUM(K751:L751)</f>
        <v>-0.1</v>
      </c>
      <c r="O751" s="17"/>
      <c r="P751" s="12"/>
      <c r="Q751" s="17">
        <f t="shared" si="49"/>
        <v>0</v>
      </c>
      <c r="R751" s="16" t="e">
        <f>ROUND(SUM(K751:M751)*(R750-1),2)</f>
        <v>#N/A</v>
      </c>
      <c r="S751" s="17">
        <f>ROUND($B751*S$666*S750,2)</f>
        <v>0</v>
      </c>
      <c r="T751" s="17">
        <f>ROUND($B751*T$666,2)</f>
        <v>0</v>
      </c>
      <c r="U751" s="17">
        <f>ROUND($B751*U$666,2)</f>
        <v>0</v>
      </c>
      <c r="V751" s="17">
        <f>ROUND($B751*V$665,2)</f>
        <v>0</v>
      </c>
      <c r="W751" s="17">
        <f>ROUND($B751*W$666,2)</f>
        <v>0</v>
      </c>
      <c r="X751" s="17">
        <f>ROUND($B751*X$666,2)</f>
        <v>0</v>
      </c>
      <c r="Y751" s="17">
        <f>ROUND($B751*Y$666,2)</f>
        <v>0</v>
      </c>
      <c r="Z751" s="17">
        <f>ROUND($B751*Z$666,2)</f>
        <v>0</v>
      </c>
      <c r="AA751" s="17">
        <f>ROUND($B751*AA$666,2)</f>
        <v>0</v>
      </c>
      <c r="AB751" s="19">
        <f>SUM(U746:AA746)</f>
        <v>0</v>
      </c>
      <c r="AC751" s="67" t="str">
        <f>+F751</f>
        <v>PH4</v>
      </c>
    </row>
    <row r="752" spans="1:29" x14ac:dyDescent="0.2">
      <c r="A752" s="9"/>
      <c r="B752" s="103">
        <v>-1</v>
      </c>
      <c r="D752" s="8"/>
      <c r="E752" s="9"/>
      <c r="F752" s="36"/>
      <c r="H752" s="12"/>
      <c r="I752" s="19"/>
      <c r="J752" s="12"/>
      <c r="K752" s="43">
        <f>ROUND(C753*K$667,0)</f>
        <v>25000</v>
      </c>
      <c r="L752" s="35">
        <f>+B753-K752</f>
        <v>-25001</v>
      </c>
      <c r="M752" s="12"/>
      <c r="N752" s="12"/>
      <c r="O752" s="12"/>
      <c r="P752" s="17" t="e">
        <f>SUM(J753:M753,R753:AA753)</f>
        <v>#N/A</v>
      </c>
      <c r="Q752" s="17">
        <f t="shared" si="49"/>
        <v>0</v>
      </c>
      <c r="R752" s="38" t="e">
        <f>VLOOKUP((D753),'Pwr Factor'!$A$1:$B$52,2)</f>
        <v>#N/A</v>
      </c>
      <c r="S752" s="50">
        <v>0.5</v>
      </c>
      <c r="T752" s="12"/>
      <c r="U752" s="12"/>
      <c r="V752" s="12"/>
      <c r="W752" s="12"/>
      <c r="X752" s="12"/>
      <c r="Y752" s="12"/>
      <c r="Z752" s="12"/>
      <c r="AA752" s="12"/>
    </row>
    <row r="753" spans="1:29" x14ac:dyDescent="0.2">
      <c r="A753" s="1" t="s">
        <v>149</v>
      </c>
      <c r="B753" s="103">
        <f>IF(AND('AES Indiana Bill Calc.'!$D$17="PH",'AES Indiana Bill Calc.'!$D$18="Yes 50%",'AES Indiana Bill Calc.'!$D$20="Yes 2024"),'AES Indiana Bill Calc.'!$D$19,-1)</f>
        <v>-1</v>
      </c>
      <c r="C753" s="103">
        <f>MAX(E753,$C$667)</f>
        <v>100</v>
      </c>
      <c r="D753" s="103" t="b">
        <f>IF(AND('AES Indiana Bill Calc.'!$D$17="PH",'AES Indiana Bill Calc.'!$D$18="Yes 50%",'AES Indiana Bill Calc.'!$D$20="Yes 2024"),'AES Indiana Bill Calc.'!$D$22)</f>
        <v>0</v>
      </c>
      <c r="E753" s="103" t="b">
        <f>IF(AND('AES Indiana Bill Calc.'!$D$17="PH",'AES Indiana Bill Calc.'!$D$18="Yes 50%",'AES Indiana Bill Calc.'!$D$20="Yes 2024"),'AES Indiana Bill Calc.'!$D$21)</f>
        <v>0</v>
      </c>
      <c r="F753" s="36" t="s">
        <v>304</v>
      </c>
      <c r="G753" s="138" t="e">
        <f>MAX(I753,P752)</f>
        <v>#N/A</v>
      </c>
      <c r="H753" s="19" t="e">
        <f>IF(ISBLANK(B753),0,+#REF!/B753)</f>
        <v>#REF!</v>
      </c>
      <c r="I753" s="115">
        <f>(E753*120*$K$666)+$J$666</f>
        <v>1250</v>
      </c>
      <c r="J753" s="51">
        <f>IF(ISBLANK(B753),0,+J$666)</f>
        <v>1250</v>
      </c>
      <c r="K753" s="16">
        <f>IF($B753&gt;K752,ROUND(K752*K$666,2),ROUND($B753*K$666,2))</f>
        <v>-0.1</v>
      </c>
      <c r="L753" s="17">
        <f>IF($B753&gt;K752,ROUND((B753-K752)*L$666,2),0)</f>
        <v>0</v>
      </c>
      <c r="M753" s="17">
        <f>IF($C753&gt;L$565,ROUND(($C753-L$565)*M$564,2),0)</f>
        <v>0</v>
      </c>
      <c r="N753" s="17">
        <f>SUM(K753:L753)</f>
        <v>-0.1</v>
      </c>
      <c r="O753" s="17"/>
      <c r="P753" s="12"/>
      <c r="Q753" s="17">
        <f t="shared" si="49"/>
        <v>0</v>
      </c>
      <c r="R753" s="16" t="e">
        <f>ROUND(SUM(K753:M753)*(R752-1),2)</f>
        <v>#N/A</v>
      </c>
      <c r="S753" s="17">
        <f>ROUND($B753*S$666*S752,2)</f>
        <v>0</v>
      </c>
      <c r="T753" s="17">
        <f>ROUND($B753*T$666,2)</f>
        <v>0</v>
      </c>
      <c r="U753" s="17">
        <f>ROUND($B753*U$666,2)</f>
        <v>0</v>
      </c>
      <c r="V753" s="17">
        <f>ROUND($B753*V$665,2)</f>
        <v>0</v>
      </c>
      <c r="W753" s="17">
        <f>ROUND($B753*W$666,2)</f>
        <v>0</v>
      </c>
      <c r="X753" s="17">
        <f>ROUND($B753*X$666,2)</f>
        <v>0</v>
      </c>
      <c r="Y753" s="17">
        <f>ROUND($B753*Y$666,2)</f>
        <v>0</v>
      </c>
      <c r="Z753" s="17">
        <f>ROUND($B753*Z$666,2)</f>
        <v>0</v>
      </c>
      <c r="AA753" s="17">
        <f>ROUND($B753*AA$666,2)</f>
        <v>0</v>
      </c>
      <c r="AB753" s="19">
        <f>SUM(U748:AA748)</f>
        <v>0</v>
      </c>
      <c r="AC753" s="67" t="str">
        <f>+F753</f>
        <v>PH4</v>
      </c>
    </row>
    <row r="754" spans="1:29" x14ac:dyDescent="0.2">
      <c r="A754" s="9"/>
      <c r="B754" s="103">
        <v>-1</v>
      </c>
      <c r="D754" s="8"/>
      <c r="E754" s="9"/>
      <c r="F754" s="36"/>
      <c r="H754" s="12"/>
      <c r="I754" s="19"/>
      <c r="J754" s="12"/>
      <c r="K754" s="43">
        <f>ROUND(C755*K$667,0)</f>
        <v>25000</v>
      </c>
      <c r="L754" s="35">
        <f>+B755-K754</f>
        <v>-25001</v>
      </c>
      <c r="M754" s="12"/>
      <c r="N754" s="12"/>
      <c r="O754" s="12"/>
      <c r="P754" s="17" t="e">
        <f>SUM(J755:M755,R755:AA755)</f>
        <v>#N/A</v>
      </c>
      <c r="Q754" s="17">
        <f t="shared" si="49"/>
        <v>0</v>
      </c>
      <c r="R754" s="38" t="e">
        <f>VLOOKUP((D755),'Pwr Factor'!$A$1:$B$52,2)</f>
        <v>#N/A</v>
      </c>
      <c r="S754" s="50">
        <v>0.25</v>
      </c>
      <c r="T754" s="12"/>
      <c r="U754" s="12"/>
      <c r="V754" s="12"/>
      <c r="W754" s="12"/>
      <c r="X754" s="12"/>
      <c r="Y754" s="12"/>
      <c r="Z754" s="12"/>
      <c r="AA754" s="12"/>
    </row>
    <row r="755" spans="1:29" x14ac:dyDescent="0.2">
      <c r="A755" s="1" t="s">
        <v>150</v>
      </c>
      <c r="B755" s="103">
        <f>IF(AND('AES Indiana Bill Calc.'!$D$17="PH",'AES Indiana Bill Calc.'!$D$18="Yes 25%",'AES Indiana Bill Calc.'!$D$20="Yes 2024"),'AES Indiana Bill Calc.'!$D$19,-1)</f>
        <v>-1</v>
      </c>
      <c r="C755" s="103">
        <f>MAX(E755,$C$667)</f>
        <v>100</v>
      </c>
      <c r="D755" s="103" t="b">
        <f>IF(AND('AES Indiana Bill Calc.'!$D$17="PH",'AES Indiana Bill Calc.'!$D$18="Yes 25%",'AES Indiana Bill Calc.'!$D$20="Yes 2024"),'AES Indiana Bill Calc.'!$D$22)</f>
        <v>0</v>
      </c>
      <c r="E755" s="103" t="b">
        <f>IF(AND('AES Indiana Bill Calc.'!$D$17="PH",'AES Indiana Bill Calc.'!$D$18="Yes 25%",'AES Indiana Bill Calc.'!$D$20="Yes 2024"),'AES Indiana Bill Calc.'!$D$21)</f>
        <v>0</v>
      </c>
      <c r="F755" s="36" t="s">
        <v>304</v>
      </c>
      <c r="G755" s="138" t="e">
        <f>MAX(I755,P754)</f>
        <v>#N/A</v>
      </c>
      <c r="H755" s="19" t="e">
        <f>IF(ISBLANK(B755),0,+#REF!/B755)</f>
        <v>#REF!</v>
      </c>
      <c r="I755" s="115">
        <f>(E755*120*$K$666)+$J$666</f>
        <v>1250</v>
      </c>
      <c r="J755" s="51">
        <f>IF(ISBLANK(B755),0,+J$666)</f>
        <v>1250</v>
      </c>
      <c r="K755" s="16">
        <f>IF($B755&gt;K754,ROUND(K754*K$666,2),ROUND($B755*K$666,2))</f>
        <v>-0.1</v>
      </c>
      <c r="L755" s="17">
        <f>IF($B755&gt;K754,ROUND((B755-K754)*L$666,2),0)</f>
        <v>0</v>
      </c>
      <c r="M755" s="17">
        <f>IF($C755&gt;L$565,ROUND(($C755-L$565)*M$564,2),0)</f>
        <v>0</v>
      </c>
      <c r="N755" s="17">
        <f>SUM(K755:L755)</f>
        <v>-0.1</v>
      </c>
      <c r="O755" s="17"/>
      <c r="P755" s="12"/>
      <c r="Q755" s="17">
        <f t="shared" si="49"/>
        <v>0</v>
      </c>
      <c r="R755" s="16" t="e">
        <f>ROUND(SUM(K755:M755)*(R754-1),2)</f>
        <v>#N/A</v>
      </c>
      <c r="S755" s="17">
        <f>ROUND($B755*S$666*S754,2)</f>
        <v>0</v>
      </c>
      <c r="T755" s="17">
        <f>ROUND($B755*T$666,2)</f>
        <v>0</v>
      </c>
      <c r="U755" s="17">
        <f>ROUND($B755*U$666,2)</f>
        <v>0</v>
      </c>
      <c r="V755" s="17">
        <f>ROUND($B755*V$665,2)</f>
        <v>0</v>
      </c>
      <c r="W755" s="17">
        <f>ROUND($B755*W$666,2)</f>
        <v>0</v>
      </c>
      <c r="X755" s="17">
        <f>ROUND($B755*X$666,2)</f>
        <v>0</v>
      </c>
      <c r="Y755" s="17">
        <f>ROUND($B755*Y$666,2)</f>
        <v>0</v>
      </c>
      <c r="Z755" s="17">
        <f>ROUND($B755*Z$666,2)</f>
        <v>0</v>
      </c>
      <c r="AA755" s="17">
        <f>ROUND($B755*AA$666,2)</f>
        <v>0</v>
      </c>
      <c r="AB755" s="19">
        <f>SUM(U750:AA750)</f>
        <v>0</v>
      </c>
      <c r="AC755" s="67" t="str">
        <f>+F755</f>
        <v>PH4</v>
      </c>
    </row>
    <row r="756" spans="1:29" x14ac:dyDescent="0.2">
      <c r="A756" s="9"/>
      <c r="B756" s="103">
        <v>-1</v>
      </c>
      <c r="D756" s="8"/>
      <c r="E756" s="9"/>
      <c r="F756" s="36"/>
      <c r="H756" s="12"/>
      <c r="I756" s="19"/>
      <c r="J756" s="12"/>
      <c r="K756" s="43">
        <f>ROUND(C757*K$667,0)</f>
        <v>25000</v>
      </c>
      <c r="L756" s="35">
        <f>+B757-K756</f>
        <v>-25001</v>
      </c>
      <c r="M756" s="12"/>
      <c r="N756" s="12"/>
      <c r="O756" s="12"/>
      <c r="P756" s="17" t="e">
        <f>SUM(J757:M757,R757:AA757)</f>
        <v>#N/A</v>
      </c>
      <c r="Q756" s="17">
        <f>M756</f>
        <v>0</v>
      </c>
      <c r="R756" s="38" t="e">
        <f>VLOOKUP((D757),'Pwr Factor'!$A$1:$B$52,2)</f>
        <v>#N/A</v>
      </c>
      <c r="S756" s="50">
        <v>0.1</v>
      </c>
      <c r="T756" s="12"/>
      <c r="U756" s="12"/>
      <c r="V756" s="12"/>
      <c r="W756" s="12"/>
      <c r="X756" s="12"/>
      <c r="Y756" s="12"/>
      <c r="Z756" s="12"/>
      <c r="AA756" s="12"/>
    </row>
    <row r="757" spans="1:29" x14ac:dyDescent="0.2">
      <c r="A757" s="1" t="s">
        <v>164</v>
      </c>
      <c r="B757" s="103">
        <f>IF(AND('AES Indiana Bill Calc.'!$D$17="PH",'AES Indiana Bill Calc.'!$D$18="Yes 10%",'AES Indiana Bill Calc.'!$D$20="Yes 2024"),'AES Indiana Bill Calc.'!$D$19,-1)</f>
        <v>-1</v>
      </c>
      <c r="C757" s="103">
        <f>MAX(E757,$C$667)</f>
        <v>100</v>
      </c>
      <c r="D757" s="103" t="b">
        <f>IF(AND('AES Indiana Bill Calc.'!$D$17="PH",'AES Indiana Bill Calc.'!$D$18="Yes 10%",'AES Indiana Bill Calc.'!$D$20="Yes 2024"),'AES Indiana Bill Calc.'!$D$22)</f>
        <v>0</v>
      </c>
      <c r="E757" s="103" t="b">
        <f>IF(AND('AES Indiana Bill Calc.'!$D$17="PH",'AES Indiana Bill Calc.'!$D$18="Yes 10%",'AES Indiana Bill Calc.'!$D$20="Yes 2024"),'AES Indiana Bill Calc.'!$D$21)</f>
        <v>0</v>
      </c>
      <c r="F757" s="36" t="s">
        <v>304</v>
      </c>
      <c r="G757" s="138" t="e">
        <f>MAX(I757,P756)</f>
        <v>#N/A</v>
      </c>
      <c r="H757" s="19" t="e">
        <f>IF(ISBLANK(B757),0,+#REF!/B757)</f>
        <v>#REF!</v>
      </c>
      <c r="I757" s="115">
        <f>(E757*120*$K$666)+$J$666</f>
        <v>1250</v>
      </c>
      <c r="J757" s="51">
        <f>IF(ISBLANK(B757),0,+J$666)</f>
        <v>1250</v>
      </c>
      <c r="K757" s="16">
        <f>IF($B757&gt;K756,ROUND(K756*K$666,2),ROUND($B757*K$666,2))</f>
        <v>-0.1</v>
      </c>
      <c r="L757" s="17">
        <f>IF($B757&gt;K756,ROUND((B757-K756)*L$666,2),0)</f>
        <v>0</v>
      </c>
      <c r="M757" s="17">
        <f>IF($C757&gt;L$565,ROUND(($C757-L$565)*M$564,2),0)</f>
        <v>0</v>
      </c>
      <c r="N757" s="17">
        <f>SUM(K757:L757)</f>
        <v>-0.1</v>
      </c>
      <c r="O757" s="17"/>
      <c r="P757" s="12"/>
      <c r="Q757" s="17">
        <f>M757</f>
        <v>0</v>
      </c>
      <c r="R757" s="16" t="e">
        <f>ROUND(SUM(K757:M757)*(R756-1),2)</f>
        <v>#N/A</v>
      </c>
      <c r="S757" s="17">
        <f>ROUND($B757*S$666*S756,2)</f>
        <v>0</v>
      </c>
      <c r="T757" s="17">
        <f>ROUND($B757*T$666,2)</f>
        <v>0</v>
      </c>
      <c r="U757" s="17">
        <f>ROUND($B757*U$666,2)</f>
        <v>0</v>
      </c>
      <c r="V757" s="17">
        <f>ROUND($B757*V$665,2)</f>
        <v>0</v>
      </c>
      <c r="W757" s="17">
        <f>ROUND($B757*W$666,2)</f>
        <v>0</v>
      </c>
      <c r="X757" s="17">
        <f>ROUND($B757*X$666,2)</f>
        <v>0</v>
      </c>
      <c r="Y757" s="17">
        <f>ROUND($B757*Y$666,2)</f>
        <v>0</v>
      </c>
      <c r="Z757" s="17">
        <f>ROUND($B757*Z$666,2)</f>
        <v>0</v>
      </c>
      <c r="AA757" s="17">
        <f>ROUND($B757*AA$666,2)</f>
        <v>0</v>
      </c>
      <c r="AB757" s="19">
        <f>SUM(U752:AA752)</f>
        <v>0</v>
      </c>
      <c r="AC757" s="67" t="str">
        <f>+F757</f>
        <v>PH4</v>
      </c>
    </row>
    <row r="758" spans="1:29" x14ac:dyDescent="0.2">
      <c r="A758" s="9"/>
      <c r="B758" s="103">
        <v>-1</v>
      </c>
      <c r="D758" s="8"/>
      <c r="E758" s="9"/>
      <c r="F758" s="36"/>
      <c r="H758" s="12"/>
      <c r="I758" s="19"/>
      <c r="J758" s="12"/>
      <c r="K758" s="43">
        <f>ROUND(C759*K$667,0)</f>
        <v>25000</v>
      </c>
      <c r="L758" s="35">
        <f>+B759-K758</f>
        <v>-25001</v>
      </c>
      <c r="M758" s="12"/>
      <c r="N758" s="12"/>
      <c r="O758" s="12"/>
      <c r="P758" s="17" t="e">
        <f>SUM(J759:M759,R759:AA759)</f>
        <v>#N/A</v>
      </c>
      <c r="Q758" s="17">
        <f>M758</f>
        <v>0</v>
      </c>
      <c r="R758" s="38" t="e">
        <f>VLOOKUP((D759),'Pwr Factor'!$A$1:$B$52,2)</f>
        <v>#N/A</v>
      </c>
      <c r="S758" s="50">
        <v>0</v>
      </c>
      <c r="T758" s="12"/>
      <c r="U758" s="12"/>
      <c r="V758" s="143"/>
      <c r="W758" s="12"/>
      <c r="X758" s="12"/>
      <c r="Y758" s="12"/>
      <c r="Z758" s="12"/>
      <c r="AA758" s="12"/>
    </row>
    <row r="759" spans="1:29" x14ac:dyDescent="0.2">
      <c r="A759" s="1" t="s">
        <v>147</v>
      </c>
      <c r="B759" s="103">
        <f>IF(AND('AES Indiana Bill Calc.'!$D$17="PH",'AES Indiana Bill Calc.'!$D$18="No",'AES Indiana Bill Calc.'!$D$20="Yes 2024"),'AES Indiana Bill Calc.'!$D$19,-1)</f>
        <v>-1</v>
      </c>
      <c r="C759" s="103">
        <f>MAX(E759,$C$667)</f>
        <v>100</v>
      </c>
      <c r="D759" s="103" t="b">
        <f>IF(AND('AES Indiana Bill Calc.'!$D$17="PH",'AES Indiana Bill Calc.'!$D$18="No",'AES Indiana Bill Calc.'!$D$20="Yes 2024"),'AES Indiana Bill Calc.'!$D$22)</f>
        <v>0</v>
      </c>
      <c r="E759" s="103" t="b">
        <f>IF(AND('AES Indiana Bill Calc.'!$D$17="PH",'AES Indiana Bill Calc.'!$D$18="No",'AES Indiana Bill Calc.'!$D$20="Yes 2024"),'AES Indiana Bill Calc.'!$D$21)</f>
        <v>0</v>
      </c>
      <c r="F759" s="36" t="s">
        <v>304</v>
      </c>
      <c r="G759" s="138" t="e">
        <f>MAX(I759,P758)</f>
        <v>#N/A</v>
      </c>
      <c r="H759" s="19" t="e">
        <f>IF(ISBLANK(B759),0,+#REF!/B759)</f>
        <v>#REF!</v>
      </c>
      <c r="I759" s="115">
        <f>(E759*120*$K$666)+$J$666</f>
        <v>1250</v>
      </c>
      <c r="J759" s="51">
        <f>IF(ISBLANK(B759),0,+J$666)</f>
        <v>1250</v>
      </c>
      <c r="K759" s="16">
        <f>IF($B759&gt;K758,ROUND(K758*K$666,2),ROUND($B759*K$666,2))</f>
        <v>-0.1</v>
      </c>
      <c r="L759" s="17">
        <f>IF($B759&gt;K758,ROUND((B759-K758)*L$666,2),0)</f>
        <v>0</v>
      </c>
      <c r="M759" s="17">
        <f>IF($C759&gt;L$565,ROUND(($C759-L$565)*M$564,2),0)</f>
        <v>0</v>
      </c>
      <c r="N759" s="17">
        <f>SUM(K759:L759)</f>
        <v>-0.1</v>
      </c>
      <c r="O759" s="17"/>
      <c r="P759" s="17"/>
      <c r="Q759" s="17">
        <f>M759</f>
        <v>0</v>
      </c>
      <c r="R759" s="16" t="e">
        <f>ROUND(SUM(K759:M759)*(R758-1),2)</f>
        <v>#N/A</v>
      </c>
      <c r="S759" s="17">
        <f>ROUND($B759*S$666*S758,2)</f>
        <v>0</v>
      </c>
      <c r="T759" s="17">
        <f>ROUND($B759*T$666,2)</f>
        <v>0</v>
      </c>
      <c r="U759" s="17">
        <f>ROUND($B759*U$666,2)</f>
        <v>0</v>
      </c>
      <c r="V759" s="17">
        <f>ROUND($B759*V$665,2)</f>
        <v>0</v>
      </c>
      <c r="W759" s="17">
        <f>ROUND($B759*W$666,2)</f>
        <v>0</v>
      </c>
      <c r="X759" s="17">
        <f>ROUND($B759*X$666,2)</f>
        <v>0</v>
      </c>
      <c r="Y759" s="17">
        <f>ROUND($B759*Y$666,2)</f>
        <v>0</v>
      </c>
      <c r="Z759" s="17">
        <f>ROUND($B759*Z$666,2)</f>
        <v>0</v>
      </c>
      <c r="AA759" s="17">
        <f>ROUND($B759*AA$666,2)</f>
        <v>0</v>
      </c>
      <c r="AB759" s="19">
        <f>SUM(U754:AA754)</f>
        <v>0</v>
      </c>
      <c r="AC759" s="67" t="str">
        <f>+F759</f>
        <v>PH4</v>
      </c>
    </row>
    <row r="760" spans="1:29" x14ac:dyDescent="0.2">
      <c r="A760" s="80"/>
      <c r="B760" s="103">
        <v>-1</v>
      </c>
      <c r="C760" s="9"/>
      <c r="D760" s="8"/>
      <c r="F760" s="36"/>
      <c r="G760" s="42"/>
      <c r="H760" s="19"/>
      <c r="I760" s="19"/>
      <c r="J760" s="41"/>
      <c r="K760" s="42"/>
      <c r="L760" s="42"/>
      <c r="M760" s="41"/>
      <c r="N760" s="41"/>
      <c r="O760" s="41"/>
      <c r="P760" s="41"/>
      <c r="Q760" s="41"/>
      <c r="R760" s="41"/>
      <c r="S760" s="42"/>
      <c r="T760" s="42"/>
      <c r="U760" s="42"/>
      <c r="V760" s="42"/>
      <c r="W760" s="42"/>
      <c r="X760" s="42"/>
      <c r="Y760" s="42"/>
      <c r="Z760" s="42"/>
      <c r="AA760" s="42"/>
      <c r="AB760" s="19"/>
    </row>
    <row r="761" spans="1:29" x14ac:dyDescent="0.2">
      <c r="B761" s="103">
        <v>-1</v>
      </c>
      <c r="C761" s="9"/>
      <c r="D761" s="8"/>
      <c r="G761" s="17"/>
      <c r="H761" s="19"/>
      <c r="I761" s="19"/>
      <c r="J761" s="8"/>
      <c r="K761" s="17"/>
      <c r="L761" s="17"/>
      <c r="M761" s="8"/>
      <c r="N761" s="8"/>
      <c r="O761" s="8"/>
      <c r="P761" s="8"/>
      <c r="Q761" s="8"/>
      <c r="R761" s="8"/>
      <c r="S761" s="17"/>
      <c r="T761" s="17"/>
      <c r="U761" s="17"/>
      <c r="V761" s="27">
        <f>+T8</f>
        <v>0</v>
      </c>
      <c r="W761" s="6" t="s">
        <v>158</v>
      </c>
      <c r="X761" s="17"/>
      <c r="Y761" s="17"/>
      <c r="Z761" s="17"/>
      <c r="AA761" s="17"/>
      <c r="AB761" s="19">
        <f>+AB$771-V$771+V761</f>
        <v>2.7160000000000005E-3</v>
      </c>
    </row>
    <row r="762" spans="1:29" x14ac:dyDescent="0.2">
      <c r="B762" s="103">
        <v>-1</v>
      </c>
      <c r="C762" s="9"/>
      <c r="D762" s="8"/>
      <c r="L762" t="s">
        <v>193</v>
      </c>
      <c r="M762" t="s">
        <v>193</v>
      </c>
      <c r="S762" s="6"/>
      <c r="T762" s="6"/>
      <c r="U762" s="6"/>
      <c r="V762" s="27">
        <f>+$T$12</f>
        <v>0</v>
      </c>
      <c r="W762" s="6" t="s">
        <v>154</v>
      </c>
      <c r="X762" s="6"/>
      <c r="Y762" s="6"/>
      <c r="Z762" s="6"/>
      <c r="AA762" s="6"/>
      <c r="AB762" s="19" t="e">
        <f>+AB$771-V$771+#REF!</f>
        <v>#REF!</v>
      </c>
    </row>
    <row r="763" spans="1:29" x14ac:dyDescent="0.2">
      <c r="B763" s="103">
        <v>-1</v>
      </c>
      <c r="C763" s="9"/>
      <c r="D763" s="8"/>
      <c r="S763" s="6"/>
      <c r="T763" s="6"/>
      <c r="U763" s="6"/>
      <c r="V763" s="27">
        <f>+$T$14</f>
        <v>0</v>
      </c>
      <c r="W763" s="6" t="s">
        <v>155</v>
      </c>
      <c r="X763" s="6"/>
      <c r="Y763" s="6"/>
      <c r="Z763" s="6"/>
      <c r="AA763" s="6"/>
      <c r="AB763" s="19">
        <f>+AB$771-V$771+V762</f>
        <v>2.7160000000000005E-3</v>
      </c>
    </row>
    <row r="764" spans="1:29" x14ac:dyDescent="0.2">
      <c r="B764" s="103">
        <v>-1</v>
      </c>
      <c r="C764" s="9"/>
      <c r="D764" s="8"/>
      <c r="S764" s="6"/>
      <c r="T764" s="6"/>
      <c r="U764" s="6"/>
      <c r="V764" s="27">
        <f>$T$16</f>
        <v>-4.3999999999999999E-5</v>
      </c>
      <c r="W764" s="6" t="s">
        <v>156</v>
      </c>
      <c r="X764" s="6"/>
      <c r="Y764" s="6"/>
      <c r="Z764" s="6"/>
      <c r="AA764" s="6"/>
      <c r="AB764" s="19"/>
    </row>
    <row r="765" spans="1:29" x14ac:dyDescent="0.2">
      <c r="B765" s="103">
        <v>-1</v>
      </c>
      <c r="C765" s="9"/>
      <c r="D765" s="8"/>
      <c r="S765" s="6"/>
      <c r="T765" s="6"/>
      <c r="U765" s="6"/>
      <c r="V765" s="27">
        <f>$T$19</f>
        <v>1.15E-4</v>
      </c>
      <c r="W765" s="6" t="s">
        <v>157</v>
      </c>
      <c r="X765" s="6"/>
      <c r="Y765" s="6"/>
      <c r="Z765" s="6"/>
      <c r="AA765" s="6"/>
      <c r="AB765" s="19"/>
    </row>
    <row r="766" spans="1:29" x14ac:dyDescent="0.2">
      <c r="B766" s="103">
        <v>-1</v>
      </c>
      <c r="C766" s="9"/>
      <c r="D766" s="8"/>
      <c r="S766" s="6"/>
      <c r="T766" s="6"/>
      <c r="U766" s="6"/>
      <c r="V766" s="27">
        <f>$T$21</f>
        <v>4.6099999999999998E-4</v>
      </c>
      <c r="W766" s="6" t="s">
        <v>158</v>
      </c>
      <c r="X766" s="6"/>
      <c r="Y766" s="6"/>
      <c r="Z766" s="6"/>
      <c r="AA766" s="6"/>
      <c r="AB766" s="19"/>
    </row>
    <row r="767" spans="1:29" x14ac:dyDescent="0.2">
      <c r="B767" s="103">
        <v>-1</v>
      </c>
      <c r="C767" s="9"/>
      <c r="D767" s="8"/>
      <c r="S767" s="6"/>
      <c r="T767" s="6"/>
      <c r="U767" s="6"/>
      <c r="V767" s="27">
        <f>$T$23</f>
        <v>-8.1300000000000003E-4</v>
      </c>
      <c r="W767" s="6" t="s">
        <v>159</v>
      </c>
      <c r="X767" s="6"/>
      <c r="Y767" s="6"/>
      <c r="Z767" s="6"/>
      <c r="AA767" s="6"/>
      <c r="AB767" s="19"/>
    </row>
    <row r="768" spans="1:29" x14ac:dyDescent="0.2">
      <c r="B768" s="103">
        <v>-1</v>
      </c>
      <c r="C768" s="33" t="s">
        <v>194</v>
      </c>
      <c r="D768" s="8"/>
      <c r="S768" s="6"/>
      <c r="T768" s="6"/>
      <c r="U768" s="6"/>
      <c r="V768" s="27">
        <f>$T$25</f>
        <v>0</v>
      </c>
      <c r="W768" s="6" t="s">
        <v>160</v>
      </c>
      <c r="X768" s="6"/>
      <c r="Y768" s="6"/>
      <c r="Z768" s="6"/>
      <c r="AA768" s="6"/>
      <c r="AB768" s="19"/>
    </row>
    <row r="769" spans="1:29" x14ac:dyDescent="0.2">
      <c r="B769" s="103">
        <v>-1</v>
      </c>
      <c r="C769" s="9">
        <v>2000</v>
      </c>
      <c r="D769" s="8"/>
      <c r="S769" s="6"/>
      <c r="T769" s="6"/>
      <c r="U769" s="6"/>
      <c r="V769" s="19">
        <f>T27</f>
        <v>0</v>
      </c>
      <c r="W769" s="6" t="s">
        <v>161</v>
      </c>
      <c r="X769" s="6"/>
      <c r="Y769" s="6"/>
      <c r="Z769" s="6"/>
      <c r="AA769" s="6"/>
      <c r="AB769" s="19"/>
    </row>
    <row r="770" spans="1:29" x14ac:dyDescent="0.2">
      <c r="B770" s="103"/>
      <c r="C770" s="9"/>
      <c r="D770" s="8"/>
      <c r="S770" s="6"/>
      <c r="T770" s="6"/>
      <c r="U770" s="6"/>
      <c r="V770" s="19">
        <f>T29</f>
        <v>2.6050000000000001E-3</v>
      </c>
      <c r="W770" s="6" t="s">
        <v>301</v>
      </c>
      <c r="X770" s="6"/>
      <c r="Y770" s="6"/>
      <c r="Z770" s="6"/>
      <c r="AA770" s="6"/>
      <c r="AB770" s="19"/>
    </row>
    <row r="771" spans="1:29" x14ac:dyDescent="0.2">
      <c r="B771" s="103">
        <v>-1</v>
      </c>
      <c r="C771" s="9"/>
      <c r="D771" s="8"/>
      <c r="F771" s="70"/>
      <c r="G771" s="70"/>
      <c r="H771" s="70"/>
      <c r="I771" s="70"/>
      <c r="J771" s="161">
        <v>130</v>
      </c>
      <c r="K771" s="162">
        <v>4.0606000000000003E-2</v>
      </c>
      <c r="L771" s="161">
        <v>27.95</v>
      </c>
      <c r="M771" s="161">
        <v>27.95</v>
      </c>
      <c r="N771" s="72"/>
      <c r="O771" s="72"/>
      <c r="P771" s="72"/>
      <c r="Q771" s="72"/>
      <c r="R771" s="5"/>
      <c r="S771" s="27">
        <f>+S564</f>
        <v>3.0000000000000001E-3</v>
      </c>
      <c r="T771" s="27">
        <f>+T564</f>
        <v>-3.4320000000000002E-3</v>
      </c>
      <c r="U771" s="27">
        <f>+$S$30</f>
        <v>1.305E-3</v>
      </c>
      <c r="V771" s="27">
        <f>+V564</f>
        <v>5.5240000000000003E-3</v>
      </c>
      <c r="W771" s="27">
        <f>+W564</f>
        <v>0</v>
      </c>
      <c r="X771" s="27">
        <f>+V30</f>
        <v>2.5569999999999998E-3</v>
      </c>
      <c r="Y771" s="27">
        <f>+W30</f>
        <v>-1.771E-3</v>
      </c>
      <c r="Z771" s="27">
        <f>+X30</f>
        <v>6.2500000000000001E-4</v>
      </c>
      <c r="AA771" s="27">
        <f>+Y30</f>
        <v>-3.4600000000000001E-4</v>
      </c>
      <c r="AB771" s="19">
        <f>SUM(U771:Z771)</f>
        <v>8.2400000000000008E-3</v>
      </c>
    </row>
    <row r="772" spans="1:29" x14ac:dyDescent="0.2">
      <c r="A772" s="1"/>
      <c r="B772" s="103">
        <v>-1</v>
      </c>
      <c r="C772" s="9"/>
      <c r="D772" s="8"/>
      <c r="F772" s="70"/>
      <c r="G772" s="70"/>
      <c r="H772" s="70"/>
      <c r="I772" s="70"/>
      <c r="J772" s="70"/>
      <c r="K772" s="70"/>
      <c r="L772" s="73">
        <v>4000</v>
      </c>
      <c r="M772" s="70"/>
      <c r="N772" s="70"/>
      <c r="O772" s="70"/>
      <c r="P772" s="70"/>
      <c r="Q772" s="70"/>
    </row>
    <row r="773" spans="1:29" x14ac:dyDescent="0.2">
      <c r="B773" s="103">
        <v>-1</v>
      </c>
      <c r="C773" s="9"/>
      <c r="D773" s="8"/>
      <c r="F773" s="12"/>
      <c r="J773" s="12" t="s">
        <v>137</v>
      </c>
      <c r="K773" s="12" t="s">
        <v>197</v>
      </c>
      <c r="L773" s="204" t="s">
        <v>30</v>
      </c>
      <c r="M773" s="204"/>
      <c r="N773" s="12"/>
      <c r="O773" s="12"/>
      <c r="P773" s="12"/>
      <c r="Q773" s="143" t="s">
        <v>173</v>
      </c>
      <c r="R773" s="12" t="s">
        <v>196</v>
      </c>
      <c r="S773" s="12">
        <v>21</v>
      </c>
      <c r="T773" s="12">
        <v>6</v>
      </c>
      <c r="U773" s="12">
        <v>3</v>
      </c>
      <c r="V773" s="12">
        <v>22</v>
      </c>
      <c r="W773" s="12">
        <v>13</v>
      </c>
      <c r="X773" s="12">
        <v>20</v>
      </c>
      <c r="Y773" s="12">
        <v>24</v>
      </c>
      <c r="Z773" s="12">
        <v>25</v>
      </c>
      <c r="AA773" s="12">
        <v>26</v>
      </c>
    </row>
    <row r="774" spans="1:29" x14ac:dyDescent="0.2">
      <c r="A774" s="13"/>
      <c r="B774" s="103">
        <v>-1</v>
      </c>
      <c r="C774" s="99" t="s">
        <v>209</v>
      </c>
      <c r="D774" s="100" t="s">
        <v>210</v>
      </c>
      <c r="E774" s="130" t="s">
        <v>199</v>
      </c>
      <c r="F774" s="13" t="s">
        <v>141</v>
      </c>
      <c r="G774" s="13" t="s">
        <v>142</v>
      </c>
      <c r="H774" s="13" t="s">
        <v>143</v>
      </c>
      <c r="I774" s="12"/>
      <c r="J774" s="13" t="s">
        <v>144</v>
      </c>
      <c r="K774" s="13" t="s">
        <v>144</v>
      </c>
      <c r="L774" s="13" t="s">
        <v>232</v>
      </c>
      <c r="M774" s="13" t="s">
        <v>233</v>
      </c>
      <c r="N774" s="143" t="s">
        <v>138</v>
      </c>
      <c r="O774" s="13"/>
      <c r="P774" s="13"/>
      <c r="Q774" s="13"/>
      <c r="R774" s="13" t="s">
        <v>201</v>
      </c>
      <c r="S774" s="13" t="s">
        <v>106</v>
      </c>
      <c r="T774" s="13" t="s">
        <v>36</v>
      </c>
      <c r="U774" s="139" t="s">
        <v>38</v>
      </c>
      <c r="V774" s="13" t="s">
        <v>107</v>
      </c>
      <c r="W774" s="13" t="s">
        <v>108</v>
      </c>
      <c r="X774" s="13" t="s">
        <v>109</v>
      </c>
      <c r="Y774" s="139" t="s">
        <v>44</v>
      </c>
      <c r="Z774" s="139" t="s">
        <v>46</v>
      </c>
      <c r="AA774" s="139" t="s">
        <v>48</v>
      </c>
      <c r="AB774" s="66" t="s">
        <v>110</v>
      </c>
    </row>
    <row r="775" spans="1:29" x14ac:dyDescent="0.2">
      <c r="B775" s="103">
        <v>-1</v>
      </c>
      <c r="C775" s="9"/>
      <c r="D775" s="8"/>
      <c r="F775" s="36"/>
      <c r="G775" s="17"/>
      <c r="H775" s="19"/>
      <c r="I775" s="12"/>
      <c r="J775" s="12"/>
      <c r="K775" s="12"/>
      <c r="L775" s="12"/>
      <c r="M775" s="12"/>
      <c r="N775" s="12"/>
      <c r="O775" s="12"/>
      <c r="P775" s="12"/>
      <c r="Q775" s="12"/>
      <c r="R775" s="38" t="e">
        <f>VLOOKUP((D776),'Pwr Factor'!$A$1:$B$52,2)</f>
        <v>#N/A</v>
      </c>
      <c r="S775" s="50">
        <v>1</v>
      </c>
      <c r="T775" s="12"/>
      <c r="U775" s="12"/>
      <c r="V775" s="12"/>
      <c r="W775" s="12"/>
      <c r="X775" s="12"/>
      <c r="Y775" s="12"/>
      <c r="Z775" s="12"/>
      <c r="AA775" s="12"/>
    </row>
    <row r="776" spans="1:29" x14ac:dyDescent="0.2">
      <c r="A776" s="1" t="s">
        <v>148</v>
      </c>
      <c r="B776" s="103">
        <f>IF(AND('AES Indiana Bill Calc.'!$D$17="HL1",'AES Indiana Bill Calc.'!$D$18="Yes 100%",'AES Indiana Bill Calc.'!$D$20="No"),'AES Indiana Bill Calc.'!$D$19,-1)</f>
        <v>-1</v>
      </c>
      <c r="C776" s="103">
        <f>MAX(E776,$C$769)</f>
        <v>2000</v>
      </c>
      <c r="D776" s="103" t="b">
        <f>IF(AND('AES Indiana Bill Calc.'!$D$17="HL1",'AES Indiana Bill Calc.'!$D$18="Yes 100%",'AES Indiana Bill Calc.'!$D$20="No"),'AES Indiana Bill Calc.'!$D$22)</f>
        <v>0</v>
      </c>
      <c r="E776" s="103" t="b">
        <f>IF(AND('AES Indiana Bill Calc.'!$D$17="HL1",'AES Indiana Bill Calc.'!$D$18="Yes 100%",'AES Indiana Bill Calc.'!$D$20="No"),'AES Indiana Bill Calc.'!$D$21)</f>
        <v>0</v>
      </c>
      <c r="F776" s="36" t="s">
        <v>65</v>
      </c>
      <c r="G776" s="92" t="e">
        <f>SUM(J776:M776,R776:AA776)</f>
        <v>#N/A</v>
      </c>
      <c r="H776" s="19" t="e">
        <f>IF(ISBLANK(B776),0,+#REF!/B776)</f>
        <v>#REF!</v>
      </c>
      <c r="I776" s="19"/>
      <c r="J776" s="51">
        <f>IF(ISBLANK(B776),0,+J$771)</f>
        <v>130</v>
      </c>
      <c r="K776" s="17">
        <f>ROUND($B776*K$771,2)</f>
        <v>-0.04</v>
      </c>
      <c r="L776" s="16">
        <f>IF(ISBLANK($C776),0,IF($C776&lt;$C$772,ROUND($C$772*$L$771,2),IF($C776&gt;L$772,ROUND(L$772*L$771,2),ROUND($C776*L$771,2))))</f>
        <v>55900</v>
      </c>
      <c r="M776" s="17">
        <f>IF($C776&gt;L$772,ROUND(($C776-L$772)*M$771,2),0)</f>
        <v>0</v>
      </c>
      <c r="N776" s="17">
        <f>K776</f>
        <v>-0.04</v>
      </c>
      <c r="O776" s="17"/>
      <c r="P776" s="17"/>
      <c r="Q776" s="17">
        <f>SUM(L776:M776)</f>
        <v>55900</v>
      </c>
      <c r="R776" s="16" t="e">
        <f>ROUND(SUM(K776:M776)*(R775-1),2)</f>
        <v>#N/A</v>
      </c>
      <c r="S776" s="17">
        <f>ROUND($B776*S$771*S775,2)</f>
        <v>0</v>
      </c>
      <c r="T776" s="17">
        <f t="shared" ref="T776:AA776" si="50">ROUND($B776*T$771,2)</f>
        <v>0</v>
      </c>
      <c r="U776" s="17">
        <f t="shared" si="50"/>
        <v>0</v>
      </c>
      <c r="V776" s="17">
        <f t="shared" si="50"/>
        <v>-0.01</v>
      </c>
      <c r="W776" s="17">
        <f t="shared" si="50"/>
        <v>0</v>
      </c>
      <c r="X776" s="17">
        <f t="shared" si="50"/>
        <v>0</v>
      </c>
      <c r="Y776" s="17">
        <f t="shared" si="50"/>
        <v>0</v>
      </c>
      <c r="Z776" s="17">
        <f t="shared" si="50"/>
        <v>0</v>
      </c>
      <c r="AA776" s="17">
        <f t="shared" si="50"/>
        <v>0</v>
      </c>
      <c r="AB776" s="19">
        <f>SUM(U771:AA771)</f>
        <v>7.894E-3</v>
      </c>
      <c r="AC776" s="67" t="str">
        <f>+F776</f>
        <v>HL1</v>
      </c>
    </row>
    <row r="777" spans="1:29" x14ac:dyDescent="0.2">
      <c r="A777" s="9"/>
      <c r="B777" s="103">
        <v>-1</v>
      </c>
      <c r="D777" s="8"/>
      <c r="E777" s="9"/>
      <c r="F777" s="36"/>
      <c r="G777" s="17"/>
      <c r="H777" s="19"/>
      <c r="I777" s="12"/>
      <c r="J777" s="12"/>
      <c r="K777" s="12"/>
      <c r="L777" s="12"/>
      <c r="M777" s="12"/>
      <c r="N777" s="12"/>
      <c r="O777" s="12"/>
      <c r="P777" s="12"/>
      <c r="Q777" s="12"/>
      <c r="R777" s="38" t="e">
        <f>VLOOKUP((D778),'Pwr Factor'!$A$1:$B$52,2)</f>
        <v>#N/A</v>
      </c>
      <c r="S777" s="50">
        <v>0.5</v>
      </c>
      <c r="T777" s="12"/>
      <c r="U777" s="12"/>
      <c r="V777" s="12"/>
      <c r="W777" s="12"/>
      <c r="X777" s="12"/>
      <c r="Y777" s="12"/>
      <c r="Z777" s="12"/>
      <c r="AA777" s="12"/>
    </row>
    <row r="778" spans="1:29" x14ac:dyDescent="0.2">
      <c r="A778" s="1" t="s">
        <v>149</v>
      </c>
      <c r="B778" s="103">
        <f>IF(AND('AES Indiana Bill Calc.'!$D$17="HL1",'AES Indiana Bill Calc.'!$D$18="Yes 50%",'AES Indiana Bill Calc.'!$D$20="No"),'AES Indiana Bill Calc.'!$D$19,-1)</f>
        <v>-1</v>
      </c>
      <c r="C778" s="103">
        <f>MAX(E778,$C$769)</f>
        <v>2000</v>
      </c>
      <c r="D778" s="103" t="b">
        <f>IF(AND('AES Indiana Bill Calc.'!$D$17="HL1",'AES Indiana Bill Calc.'!$D$18="Yes 50%",'AES Indiana Bill Calc.'!$D$20="No"),'AES Indiana Bill Calc.'!$D$22)</f>
        <v>0</v>
      </c>
      <c r="E778" s="103" t="b">
        <f>IF(AND('AES Indiana Bill Calc.'!$D$17="HL1",'AES Indiana Bill Calc.'!$D$18="Yes 50%",'AES Indiana Bill Calc.'!$D$20="No"),'AES Indiana Bill Calc.'!$D$21)</f>
        <v>0</v>
      </c>
      <c r="F778" s="36" t="s">
        <v>65</v>
      </c>
      <c r="G778" s="92" t="e">
        <f>SUM(J778:M778,R778:AA778)</f>
        <v>#N/A</v>
      </c>
      <c r="H778" s="19" t="e">
        <f>IF(ISBLANK(B778),0,+#REF!/B778)</f>
        <v>#REF!</v>
      </c>
      <c r="I778" s="19"/>
      <c r="J778" s="51">
        <f>IF(ISBLANK(B778),0,+J$771)</f>
        <v>130</v>
      </c>
      <c r="K778" s="17">
        <f>ROUND($B778*K$771,2)</f>
        <v>-0.04</v>
      </c>
      <c r="L778" s="16">
        <f>IF(ISBLANK($C778),0,IF($C778&lt;$C$772,ROUND($C$772*$L$771,2),IF($C778&gt;L$772,ROUND(L$772*L$771,2),ROUND($C778*L$771,2))))</f>
        <v>55900</v>
      </c>
      <c r="M778" s="17">
        <f>IF($C778&gt;L$772,ROUND(($C778-L$772)*M$771,2),0)</f>
        <v>0</v>
      </c>
      <c r="N778" s="17">
        <f>K778</f>
        <v>-0.04</v>
      </c>
      <c r="O778" s="17"/>
      <c r="P778" s="17"/>
      <c r="Q778" s="17">
        <f>SUM(L778:M778)</f>
        <v>55900</v>
      </c>
      <c r="R778" s="16" t="e">
        <f>ROUND(SUM(K778:M778)*(R777-1),2)</f>
        <v>#N/A</v>
      </c>
      <c r="S778" s="17">
        <f>ROUND($B778*S$771*S777,2)</f>
        <v>0</v>
      </c>
      <c r="T778" s="17">
        <f t="shared" ref="T778:AA778" si="51">ROUND($B778*T$771,2)</f>
        <v>0</v>
      </c>
      <c r="U778" s="17">
        <f t="shared" si="51"/>
        <v>0</v>
      </c>
      <c r="V778" s="17">
        <f t="shared" si="51"/>
        <v>-0.01</v>
      </c>
      <c r="W778" s="17">
        <f t="shared" si="51"/>
        <v>0</v>
      </c>
      <c r="X778" s="17">
        <f t="shared" si="51"/>
        <v>0</v>
      </c>
      <c r="Y778" s="17">
        <f t="shared" si="51"/>
        <v>0</v>
      </c>
      <c r="Z778" s="17">
        <f t="shared" si="51"/>
        <v>0</v>
      </c>
      <c r="AA778" s="17">
        <f t="shared" si="51"/>
        <v>0</v>
      </c>
      <c r="AB778" s="19">
        <f>SUM(U773:AA773)</f>
        <v>133</v>
      </c>
      <c r="AC778" s="67" t="str">
        <f>+F778</f>
        <v>HL1</v>
      </c>
    </row>
    <row r="779" spans="1:29" x14ac:dyDescent="0.2">
      <c r="A779" s="9"/>
      <c r="B779" s="103">
        <v>-1</v>
      </c>
      <c r="D779" s="8"/>
      <c r="E779" s="9"/>
      <c r="F779" s="36"/>
      <c r="G779" s="17"/>
      <c r="H779" s="19"/>
      <c r="I779" s="12"/>
      <c r="J779" s="12"/>
      <c r="K779" s="12"/>
      <c r="L779" s="12"/>
      <c r="M779" s="12"/>
      <c r="N779" s="12"/>
      <c r="O779" s="12"/>
      <c r="P779" s="12"/>
      <c r="Q779" s="12"/>
      <c r="R779" s="38" t="e">
        <f>VLOOKUP((D780),'Pwr Factor'!$A$1:$B$52,2)</f>
        <v>#N/A</v>
      </c>
      <c r="S779" s="50">
        <v>0.25</v>
      </c>
      <c r="T779" s="12"/>
      <c r="U779" s="12"/>
      <c r="V779" s="12"/>
      <c r="W779" s="12"/>
      <c r="X779" s="12"/>
      <c r="Y779" s="12"/>
      <c r="Z779" s="12"/>
      <c r="AA779" s="12"/>
    </row>
    <row r="780" spans="1:29" x14ac:dyDescent="0.2">
      <c r="A780" s="1" t="s">
        <v>150</v>
      </c>
      <c r="B780" s="103">
        <f>IF(AND('AES Indiana Bill Calc.'!$D$17="HL1",'AES Indiana Bill Calc.'!$D$18="Yes 25%",'AES Indiana Bill Calc.'!$D$20="No"),'AES Indiana Bill Calc.'!$D$19,-1)</f>
        <v>-1</v>
      </c>
      <c r="C780" s="103">
        <f>MAX(E780,$C$769)</f>
        <v>2000</v>
      </c>
      <c r="D780" s="103" t="b">
        <f>IF(AND('AES Indiana Bill Calc.'!$D$17="HL1",'AES Indiana Bill Calc.'!$D$18="Yes 25%",'AES Indiana Bill Calc.'!$D$20="No"),'AES Indiana Bill Calc.'!$D$22)</f>
        <v>0</v>
      </c>
      <c r="E780" s="103" t="b">
        <f>IF(AND('AES Indiana Bill Calc.'!$D$17="HL1",'AES Indiana Bill Calc.'!$D$18="Yes 25%",'AES Indiana Bill Calc.'!$D$20="No"),'AES Indiana Bill Calc.'!$D$21)</f>
        <v>0</v>
      </c>
      <c r="F780" s="36" t="s">
        <v>65</v>
      </c>
      <c r="G780" s="92" t="e">
        <f>SUM(J780:M780,R780:AA780)</f>
        <v>#N/A</v>
      </c>
      <c r="H780" s="19" t="e">
        <f>IF(ISBLANK(B780),0,+#REF!/B780)</f>
        <v>#REF!</v>
      </c>
      <c r="I780" s="19"/>
      <c r="J780" s="51">
        <f>IF(ISBLANK(B780),0,+J$771)</f>
        <v>130</v>
      </c>
      <c r="K780" s="17">
        <f>ROUND($B780*K$771,2)</f>
        <v>-0.04</v>
      </c>
      <c r="L780" s="16">
        <f>IF(ISBLANK($C780),0,IF($C780&lt;$C$772,ROUND($C$772*$L$771,2),IF($C780&gt;L$772,ROUND(L$772*L$771,2),ROUND($C780*L$771,2))))</f>
        <v>55900</v>
      </c>
      <c r="M780" s="17">
        <f>IF($C780&gt;L$772,ROUND(($C780-L$772)*M$771,2),0)</f>
        <v>0</v>
      </c>
      <c r="N780" s="17">
        <f>K780</f>
        <v>-0.04</v>
      </c>
      <c r="O780" s="17"/>
      <c r="P780" s="17"/>
      <c r="Q780" s="17">
        <f>SUM(L780:M780)</f>
        <v>55900</v>
      </c>
      <c r="R780" s="16" t="e">
        <f>ROUND(SUM(K780:M780)*(R779-1),2)</f>
        <v>#N/A</v>
      </c>
      <c r="S780" s="17">
        <f>ROUND($B780*S$771*S779,2)</f>
        <v>0</v>
      </c>
      <c r="T780" s="17">
        <f t="shared" ref="T780:AA780" si="52">ROUND($B780*T$771,2)</f>
        <v>0</v>
      </c>
      <c r="U780" s="17">
        <f t="shared" si="52"/>
        <v>0</v>
      </c>
      <c r="V780" s="17">
        <f t="shared" si="52"/>
        <v>-0.01</v>
      </c>
      <c r="W780" s="17">
        <f t="shared" si="52"/>
        <v>0</v>
      </c>
      <c r="X780" s="17">
        <f t="shared" si="52"/>
        <v>0</v>
      </c>
      <c r="Y780" s="17">
        <f t="shared" si="52"/>
        <v>0</v>
      </c>
      <c r="Z780" s="17">
        <f t="shared" si="52"/>
        <v>0</v>
      </c>
      <c r="AA780" s="17">
        <f t="shared" si="52"/>
        <v>0</v>
      </c>
      <c r="AB780" s="19">
        <f>SUM(U775:AA775)</f>
        <v>0</v>
      </c>
      <c r="AC780" s="67" t="str">
        <f>+F780</f>
        <v>HL1</v>
      </c>
    </row>
    <row r="781" spans="1:29" x14ac:dyDescent="0.2">
      <c r="A781" s="9"/>
      <c r="B781" s="103">
        <v>-1</v>
      </c>
      <c r="D781" s="8"/>
      <c r="E781" s="9"/>
      <c r="F781" s="36"/>
      <c r="G781" s="17"/>
      <c r="H781" s="19"/>
      <c r="I781" s="12"/>
      <c r="J781" s="12"/>
      <c r="K781" s="12"/>
      <c r="L781" s="12"/>
      <c r="M781" s="12"/>
      <c r="N781" s="12"/>
      <c r="O781" s="12"/>
      <c r="P781" s="12"/>
      <c r="Q781" s="17"/>
      <c r="R781" s="38" t="e">
        <f>VLOOKUP((D782),'Pwr Factor'!$A$1:$B$52,2)</f>
        <v>#N/A</v>
      </c>
      <c r="S781" s="50">
        <v>0.1</v>
      </c>
      <c r="T781" s="12"/>
      <c r="U781" s="12"/>
      <c r="V781" s="12"/>
      <c r="W781" s="12"/>
      <c r="X781" s="12"/>
      <c r="Y781" s="12"/>
      <c r="Z781" s="12"/>
      <c r="AA781" s="12"/>
    </row>
    <row r="782" spans="1:29" x14ac:dyDescent="0.2">
      <c r="A782" s="1" t="s">
        <v>164</v>
      </c>
      <c r="B782" s="103">
        <f>IF(AND('AES Indiana Bill Calc.'!$D$17="HL1",'AES Indiana Bill Calc.'!$D$18="Yes 10%",'AES Indiana Bill Calc.'!$D$20="No"),'AES Indiana Bill Calc.'!$D$19,-1)</f>
        <v>-1</v>
      </c>
      <c r="C782" s="103">
        <f>MAX(E782,$C$769)</f>
        <v>2000</v>
      </c>
      <c r="D782" s="103" t="b">
        <f>IF(AND('AES Indiana Bill Calc.'!$D$17="HL1",'AES Indiana Bill Calc.'!$D$18="Yes 10%",'AES Indiana Bill Calc.'!$D$20="No"),'AES Indiana Bill Calc.'!$D$22)</f>
        <v>0</v>
      </c>
      <c r="E782" s="103" t="b">
        <f>IF(AND('AES Indiana Bill Calc.'!$D$17="HL1",'AES Indiana Bill Calc.'!$D$18="Yes 10%",'AES Indiana Bill Calc.'!$D$20="No"),'AES Indiana Bill Calc.'!$D$21)</f>
        <v>0</v>
      </c>
      <c r="F782" s="36" t="s">
        <v>65</v>
      </c>
      <c r="G782" s="92" t="e">
        <f>SUM(J782:M782,R782:AA782)</f>
        <v>#N/A</v>
      </c>
      <c r="H782" s="19" t="e">
        <f>IF(ISBLANK(B782),0,+#REF!/B782)</f>
        <v>#REF!</v>
      </c>
      <c r="I782" s="19"/>
      <c r="J782" s="51">
        <f>IF(ISBLANK(B782),0,+J$771)</f>
        <v>130</v>
      </c>
      <c r="K782" s="17">
        <f>ROUND($B782*K$771,2)</f>
        <v>-0.04</v>
      </c>
      <c r="L782" s="16">
        <f>IF(ISBLANK($C782),0,IF($C782&lt;$C$772,ROUND($C$772*$L$771,2),IF($C782&gt;L$772,ROUND(L$772*L$771,2),ROUND($C782*L$771,2))))</f>
        <v>55900</v>
      </c>
      <c r="M782" s="17">
        <f>IF($C782&gt;L$772,ROUND(($C782-L$772)*M$771,2),0)</f>
        <v>0</v>
      </c>
      <c r="N782" s="17">
        <f>K782</f>
        <v>-0.04</v>
      </c>
      <c r="O782" s="17"/>
      <c r="P782" s="17"/>
      <c r="Q782" s="17">
        <f>SUM(L782:M782)</f>
        <v>55900</v>
      </c>
      <c r="R782" s="16" t="e">
        <f>ROUND(SUM(K782:M782)*(R781-1),2)</f>
        <v>#N/A</v>
      </c>
      <c r="S782" s="17">
        <f>ROUND($B782*S$771*S781,2)</f>
        <v>0</v>
      </c>
      <c r="T782" s="17">
        <f t="shared" ref="T782:AA782" si="53">ROUND($B782*T$771,2)</f>
        <v>0</v>
      </c>
      <c r="U782" s="17">
        <f t="shared" si="53"/>
        <v>0</v>
      </c>
      <c r="V782" s="17">
        <f t="shared" si="53"/>
        <v>-0.01</v>
      </c>
      <c r="W782" s="17">
        <f t="shared" si="53"/>
        <v>0</v>
      </c>
      <c r="X782" s="17">
        <f t="shared" si="53"/>
        <v>0</v>
      </c>
      <c r="Y782" s="17">
        <f t="shared" si="53"/>
        <v>0</v>
      </c>
      <c r="Z782" s="17">
        <f t="shared" si="53"/>
        <v>0</v>
      </c>
      <c r="AA782" s="17">
        <f t="shared" si="53"/>
        <v>0</v>
      </c>
      <c r="AB782" s="19">
        <f>SUM(U777:AA777)</f>
        <v>0</v>
      </c>
      <c r="AC782" s="67" t="str">
        <f>+F782</f>
        <v>HL1</v>
      </c>
    </row>
    <row r="783" spans="1:29" x14ac:dyDescent="0.2">
      <c r="A783" s="9"/>
      <c r="B783" s="103">
        <v>-1</v>
      </c>
      <c r="D783" s="8"/>
      <c r="E783" s="9"/>
      <c r="F783" s="36"/>
      <c r="G783" s="17"/>
      <c r="H783" s="19"/>
      <c r="I783" s="12"/>
      <c r="J783" s="12"/>
      <c r="K783" s="12"/>
      <c r="L783" s="12"/>
      <c r="M783" s="12"/>
      <c r="N783" s="12"/>
      <c r="O783" s="12"/>
      <c r="P783" s="12"/>
      <c r="Q783" s="12"/>
      <c r="R783" s="38" t="e">
        <f>VLOOKUP((D784),'Pwr Factor'!$A$1:$B$52,2)</f>
        <v>#N/A</v>
      </c>
      <c r="S783" s="50">
        <v>0</v>
      </c>
      <c r="T783" s="12"/>
      <c r="U783" s="12"/>
      <c r="V783" s="12"/>
      <c r="W783" s="12"/>
      <c r="X783" s="12"/>
      <c r="Y783" s="12"/>
      <c r="Z783" s="12"/>
      <c r="AA783" s="12"/>
    </row>
    <row r="784" spans="1:29" x14ac:dyDescent="0.2">
      <c r="A784" s="1" t="s">
        <v>147</v>
      </c>
      <c r="B784" s="103">
        <f>IF(AND('AES Indiana Bill Calc.'!$D$17="HL1",'AES Indiana Bill Calc.'!$D$18="No",'AES Indiana Bill Calc.'!$D$20="No"),'AES Indiana Bill Calc.'!$D$19,-1)</f>
        <v>-1</v>
      </c>
      <c r="C784" s="103">
        <f>MAX(E784,$C$769)</f>
        <v>2000</v>
      </c>
      <c r="D784" s="103" t="b">
        <f>IF(AND('AES Indiana Bill Calc.'!$D$17="HL1",'AES Indiana Bill Calc.'!$D$18="No",'AES Indiana Bill Calc.'!$D$20="No"),'AES Indiana Bill Calc.'!$D$22)</f>
        <v>0</v>
      </c>
      <c r="E784" s="103" t="b">
        <f>IF(AND('AES Indiana Bill Calc.'!$D$17="HL1",'AES Indiana Bill Calc.'!$D$18="No",'AES Indiana Bill Calc.'!$D$20="No"),'AES Indiana Bill Calc.'!$D$21)</f>
        <v>0</v>
      </c>
      <c r="F784" s="36" t="s">
        <v>65</v>
      </c>
      <c r="G784" s="92" t="e">
        <f>SUM(J784:M784,R784:AA784)</f>
        <v>#N/A</v>
      </c>
      <c r="H784" s="19" t="e">
        <f>IF(ISBLANK(B784),0,+#REF!/B784)</f>
        <v>#REF!</v>
      </c>
      <c r="I784" s="19"/>
      <c r="J784" s="51">
        <f>IF(ISBLANK(B784),0,+J$771)</f>
        <v>130</v>
      </c>
      <c r="K784" s="17">
        <f>ROUND($B784*K$771,2)</f>
        <v>-0.04</v>
      </c>
      <c r="L784" s="16">
        <f>IF(ISBLANK($C784),0,IF($C784&lt;$C$772,ROUND($C$772*$L$771,2),IF($C784&gt;L$772,ROUND(L$772*L$771,2),ROUND($C784*L$771,2))))</f>
        <v>55900</v>
      </c>
      <c r="M784" s="17">
        <f>IF($C784&gt;L$772,ROUND(($C784-L$772)*M$771,2),0)</f>
        <v>0</v>
      </c>
      <c r="N784" s="17">
        <f>K784</f>
        <v>-0.04</v>
      </c>
      <c r="O784" s="17"/>
      <c r="P784" s="17"/>
      <c r="Q784" s="17">
        <f>SUM(L784:M784)</f>
        <v>55900</v>
      </c>
      <c r="R784" s="16" t="e">
        <f>ROUND(SUM(K784:M784)*(R783-1),2)</f>
        <v>#N/A</v>
      </c>
      <c r="S784" s="17">
        <f>ROUND($B784*S$771*S783,2)</f>
        <v>0</v>
      </c>
      <c r="T784" s="17">
        <f t="shared" ref="T784:AA784" si="54">ROUND($B784*T$771,2)</f>
        <v>0</v>
      </c>
      <c r="U784" s="17">
        <f t="shared" si="54"/>
        <v>0</v>
      </c>
      <c r="V784" s="17">
        <f t="shared" si="54"/>
        <v>-0.01</v>
      </c>
      <c r="W784" s="17">
        <f t="shared" si="54"/>
        <v>0</v>
      </c>
      <c r="X784" s="17">
        <f t="shared" si="54"/>
        <v>0</v>
      </c>
      <c r="Y784" s="17">
        <f t="shared" si="54"/>
        <v>0</v>
      </c>
      <c r="Z784" s="17">
        <f t="shared" si="54"/>
        <v>0</v>
      </c>
      <c r="AA784" s="17">
        <f t="shared" si="54"/>
        <v>0</v>
      </c>
      <c r="AB784" s="19">
        <f>SUM(U779:AA779)</f>
        <v>0</v>
      </c>
      <c r="AC784" s="67" t="str">
        <f>+F784</f>
        <v>HL1</v>
      </c>
    </row>
    <row r="785" spans="1:29" x14ac:dyDescent="0.2">
      <c r="B785" s="103">
        <v>-1</v>
      </c>
      <c r="D785" s="8"/>
      <c r="E785" s="9"/>
      <c r="F785" s="36"/>
      <c r="G785" s="17"/>
      <c r="H785" s="19"/>
      <c r="J785" s="51"/>
      <c r="K785" s="17"/>
      <c r="L785" s="16"/>
      <c r="M785" s="17"/>
      <c r="N785" s="17"/>
      <c r="O785" s="17"/>
      <c r="P785" s="17"/>
      <c r="Q785" s="17"/>
      <c r="R785" s="38" t="e">
        <f>VLOOKUP((D786),'Pwr Factor'!$A$1:$B$52,2)</f>
        <v>#N/A</v>
      </c>
      <c r="S785" s="50">
        <v>1</v>
      </c>
      <c r="T785" s="17"/>
      <c r="U785" s="17"/>
      <c r="V785" s="8"/>
      <c r="W785" s="17"/>
      <c r="X785" s="17"/>
      <c r="Y785" s="17"/>
      <c r="Z785" s="17"/>
      <c r="AA785" s="17"/>
      <c r="AB785" s="19"/>
      <c r="AC785" s="67"/>
    </row>
    <row r="786" spans="1:29" x14ac:dyDescent="0.2">
      <c r="A786" s="1" t="s">
        <v>148</v>
      </c>
      <c r="B786" s="103">
        <f>IF(AND('AES Indiana Bill Calc.'!$D$17="HL1",'AES Indiana Bill Calc.'!$D$18="Yes 100%",'AES Indiana Bill Calc.'!$D$20="Yes Before 2018"),'AES Indiana Bill Calc.'!$D$19,-1)</f>
        <v>-1</v>
      </c>
      <c r="C786" s="103">
        <f>MAX(E786,$C$769)</f>
        <v>2000</v>
      </c>
      <c r="D786" s="103" t="b">
        <f>IF(AND('AES Indiana Bill Calc.'!$D$17="HL1",'AES Indiana Bill Calc.'!$D$18="Yes 100%",'AES Indiana Bill Calc.'!$D$20="Yes Before 2018"),'AES Indiana Bill Calc.'!$D$22)</f>
        <v>0</v>
      </c>
      <c r="E786" s="103" t="b">
        <f>IF(AND('AES Indiana Bill Calc.'!$D$17="HL1",'AES Indiana Bill Calc.'!$D$18="Yes 100%",'AES Indiana Bill Calc.'!$D$20="Yes Before 2018"),'AES Indiana Bill Calc.'!$D$21)</f>
        <v>0</v>
      </c>
      <c r="F786" s="36" t="s">
        <v>234</v>
      </c>
      <c r="G786" s="92" t="e">
        <f>SUM(J786:M786,R786:AA786)</f>
        <v>#N/A</v>
      </c>
      <c r="H786" s="19" t="e">
        <f>IF(ISBLANK(B786),0,+#REF!/B786)</f>
        <v>#REF!</v>
      </c>
      <c r="J786" s="88">
        <f>IF(ISBLANK(B786),0,+J$771)</f>
        <v>130</v>
      </c>
      <c r="K786" s="42">
        <f>ROUND($B786*K$771,2)</f>
        <v>-0.04</v>
      </c>
      <c r="L786" s="16">
        <f>IF(ISBLANK($C786),0,IF($C786&lt;$C$772,ROUND($C$772*$L$771,2),IF($C786&gt;L$772,ROUND(L$772*L$771,2),ROUND($C786*L$771,2))))</f>
        <v>55900</v>
      </c>
      <c r="M786" s="17">
        <f>IF($C786&gt;L$772,ROUND(($C786-L$772)*M$771,2),0)</f>
        <v>0</v>
      </c>
      <c r="N786" s="17">
        <f>K786</f>
        <v>-0.04</v>
      </c>
      <c r="O786" s="42"/>
      <c r="P786" s="42"/>
      <c r="Q786" s="17">
        <f>SUM(L786:M786)</f>
        <v>55900</v>
      </c>
      <c r="R786" s="104" t="e">
        <f>ROUND(SUM(K786:M786)*(R785-1),2)</f>
        <v>#N/A</v>
      </c>
      <c r="S786" s="42">
        <f>ROUND($B786*S$771*S785,2)</f>
        <v>0</v>
      </c>
      <c r="T786" s="42">
        <f>ROUND($B786*T$771,2)</f>
        <v>0</v>
      </c>
      <c r="U786" s="42">
        <f>ROUND($B786*U$771,2)</f>
        <v>0</v>
      </c>
      <c r="V786" s="41">
        <f>ROUND($B786*V$763,2)</f>
        <v>0</v>
      </c>
      <c r="W786" s="42">
        <f>ROUND($B786*W$771,2)</f>
        <v>0</v>
      </c>
      <c r="X786" s="42">
        <f>ROUND($B786*X$771,2)</f>
        <v>0</v>
      </c>
      <c r="Y786" s="42">
        <f>ROUND($B786*Y$771,2)</f>
        <v>0</v>
      </c>
      <c r="Z786" s="42">
        <f>ROUND($B786*Z$771,2)</f>
        <v>0</v>
      </c>
      <c r="AA786" s="42">
        <f>ROUND($B786*AA$771,2)</f>
        <v>0</v>
      </c>
      <c r="AB786" s="19">
        <f>SUM(U$771:AA$771)+(-V$771+V763)</f>
        <v>2.3699999999999997E-3</v>
      </c>
      <c r="AC786" s="94" t="str">
        <f>+F786</f>
        <v>HL17</v>
      </c>
    </row>
    <row r="787" spans="1:29" x14ac:dyDescent="0.2">
      <c r="A787" s="9"/>
      <c r="B787" s="103">
        <v>-1</v>
      </c>
      <c r="D787" s="8"/>
      <c r="E787" s="9"/>
      <c r="F787" s="36"/>
      <c r="G787" s="17"/>
      <c r="H787" s="19"/>
      <c r="J787" s="51"/>
      <c r="K787" s="17"/>
      <c r="L787" s="16"/>
      <c r="M787" s="17"/>
      <c r="N787" s="17"/>
      <c r="O787" s="17"/>
      <c r="P787" s="17"/>
      <c r="Q787" s="17"/>
      <c r="R787" s="38" t="e">
        <f>VLOOKUP((D788),'Pwr Factor'!$A$1:$B$52,2)</f>
        <v>#N/A</v>
      </c>
      <c r="S787" s="50">
        <v>0.5</v>
      </c>
      <c r="T787" s="17"/>
      <c r="U787" s="17"/>
      <c r="V787" s="8"/>
      <c r="W787" s="17"/>
      <c r="X787" s="17"/>
      <c r="Y787" s="17"/>
      <c r="Z787" s="17"/>
      <c r="AA787" s="17"/>
      <c r="AB787" s="19"/>
      <c r="AC787" s="67"/>
    </row>
    <row r="788" spans="1:29" x14ac:dyDescent="0.2">
      <c r="A788" s="1" t="s">
        <v>149</v>
      </c>
      <c r="B788" s="103">
        <f>IF(AND('AES Indiana Bill Calc.'!$D$17="HL1",'AES Indiana Bill Calc.'!$D$18="Yes 50%",'AES Indiana Bill Calc.'!$D$20="Yes Before 2018"),'AES Indiana Bill Calc.'!$D$19,-1)</f>
        <v>-1</v>
      </c>
      <c r="C788" s="103">
        <f>MAX(E788,$C$769)</f>
        <v>2000</v>
      </c>
      <c r="D788" s="103" t="b">
        <f>IF(AND('AES Indiana Bill Calc.'!$D$17="HL1",'AES Indiana Bill Calc.'!$D$18="Yes 50%",'AES Indiana Bill Calc.'!$D$20="Yes Before 2018"),'AES Indiana Bill Calc.'!$D$22)</f>
        <v>0</v>
      </c>
      <c r="E788" s="103" t="b">
        <f>IF(AND('AES Indiana Bill Calc.'!$D$17="HL1",'AES Indiana Bill Calc.'!$D$18="Yes 50%",'AES Indiana Bill Calc.'!$D$20="Yes Before 2018"),'AES Indiana Bill Calc.'!$D$21)</f>
        <v>0</v>
      </c>
      <c r="F788" s="36" t="s">
        <v>234</v>
      </c>
      <c r="G788" s="92" t="e">
        <f>SUM(J788:M788,R788:AA788)</f>
        <v>#N/A</v>
      </c>
      <c r="H788" s="19" t="e">
        <f>IF(ISBLANK(B788),0,+#REF!/B788)</f>
        <v>#REF!</v>
      </c>
      <c r="J788" s="88">
        <f>IF(ISBLANK(B788),0,+J$771)</f>
        <v>130</v>
      </c>
      <c r="K788" s="42">
        <f>ROUND($B788*K$771,2)</f>
        <v>-0.04</v>
      </c>
      <c r="L788" s="16">
        <f>IF(ISBLANK($C788),0,IF($C788&lt;$C$772,ROUND($C$772*$L$771,2),IF($C788&gt;L$772,ROUND(L$772*L$771,2),ROUND($C788*L$771,2))))</f>
        <v>55900</v>
      </c>
      <c r="M788" s="17">
        <f>IF($C788&gt;L$772,ROUND(($C788-L$772)*M$771,2),0)</f>
        <v>0</v>
      </c>
      <c r="N788" s="17">
        <f>K788</f>
        <v>-0.04</v>
      </c>
      <c r="O788" s="42"/>
      <c r="P788" s="42"/>
      <c r="Q788" s="17">
        <f>SUM(L788:M788)</f>
        <v>55900</v>
      </c>
      <c r="R788" s="104" t="e">
        <f>ROUND(SUM(K788:M788)*(R787-1),2)</f>
        <v>#N/A</v>
      </c>
      <c r="S788" s="42">
        <f>ROUND($B788*S$771*S787,2)</f>
        <v>0</v>
      </c>
      <c r="T788" s="42">
        <f>ROUND($B788*T$771,2)</f>
        <v>0</v>
      </c>
      <c r="U788" s="42">
        <f>ROUND($B788*U$771,2)</f>
        <v>0</v>
      </c>
      <c r="V788" s="41">
        <f>ROUND($B788*V$763,2)</f>
        <v>0</v>
      </c>
      <c r="W788" s="42">
        <f>ROUND($B788*W$771,2)</f>
        <v>0</v>
      </c>
      <c r="X788" s="42">
        <f>ROUND($B788*X$771,2)</f>
        <v>0</v>
      </c>
      <c r="Y788" s="42">
        <f>ROUND($B788*Y$771,2)</f>
        <v>0</v>
      </c>
      <c r="Z788" s="42">
        <f>ROUND($B788*Z$771,2)</f>
        <v>0</v>
      </c>
      <c r="AA788" s="42">
        <f>ROUND($B788*AA$771,2)</f>
        <v>0</v>
      </c>
      <c r="AB788" s="19">
        <f>SUM(U$771:AA$771)+(-V$771+V765)</f>
        <v>2.4849999999999994E-3</v>
      </c>
      <c r="AC788" s="94" t="str">
        <f>+F788</f>
        <v>HL17</v>
      </c>
    </row>
    <row r="789" spans="1:29" x14ac:dyDescent="0.2">
      <c r="A789" s="9"/>
      <c r="B789" s="103">
        <v>-1</v>
      </c>
      <c r="D789" s="8"/>
      <c r="E789" s="9"/>
      <c r="F789" s="36"/>
      <c r="G789" s="17"/>
      <c r="H789" s="19"/>
      <c r="J789" s="51"/>
      <c r="K789" s="17"/>
      <c r="L789" s="16"/>
      <c r="M789" s="17"/>
      <c r="N789" s="17"/>
      <c r="O789" s="17"/>
      <c r="P789" s="17"/>
      <c r="Q789" s="17"/>
      <c r="R789" s="38" t="e">
        <f>VLOOKUP((D790),'Pwr Factor'!$A$1:$B$52,2)</f>
        <v>#N/A</v>
      </c>
      <c r="S789" s="50">
        <v>0.25</v>
      </c>
      <c r="T789" s="17"/>
      <c r="U789" s="17"/>
      <c r="V789" s="8"/>
      <c r="W789" s="17"/>
      <c r="X789" s="17"/>
      <c r="Y789" s="17"/>
      <c r="Z789" s="17"/>
      <c r="AA789" s="17"/>
      <c r="AB789" s="19"/>
      <c r="AC789" s="67"/>
    </row>
    <row r="790" spans="1:29" x14ac:dyDescent="0.2">
      <c r="A790" s="1" t="s">
        <v>150</v>
      </c>
      <c r="B790" s="103">
        <f>IF(AND('AES Indiana Bill Calc.'!$D$17="HL1",'AES Indiana Bill Calc.'!$D$18="Yes 25%",'AES Indiana Bill Calc.'!$D$20="Yes Before 2018"),'AES Indiana Bill Calc.'!$D$19,-1)</f>
        <v>-1</v>
      </c>
      <c r="C790" s="103">
        <f>MAX(E790,$C$769)</f>
        <v>2000</v>
      </c>
      <c r="D790" s="103" t="b">
        <f>IF(AND('AES Indiana Bill Calc.'!$D$17="HL1",'AES Indiana Bill Calc.'!$D$18="Yes 25%",'AES Indiana Bill Calc.'!$D$20="Yes Before 2018"),'AES Indiana Bill Calc.'!$D$22)</f>
        <v>0</v>
      </c>
      <c r="E790" s="103" t="b">
        <f>IF(AND('AES Indiana Bill Calc.'!$D$17="HL1",'AES Indiana Bill Calc.'!$D$18="Yes 25%",'AES Indiana Bill Calc.'!$D$20="Yes Before 2018"),'AES Indiana Bill Calc.'!$D$21)</f>
        <v>0</v>
      </c>
      <c r="F790" s="36" t="s">
        <v>234</v>
      </c>
      <c r="G790" s="92" t="e">
        <f>SUM(J790:M790,R790:AA790)</f>
        <v>#N/A</v>
      </c>
      <c r="H790" s="19" t="e">
        <f>IF(ISBLANK(B790),0,+#REF!/B790)</f>
        <v>#REF!</v>
      </c>
      <c r="J790" s="88">
        <f>IF(ISBLANK(B790),0,+J$771)</f>
        <v>130</v>
      </c>
      <c r="K790" s="42">
        <f>ROUND($B790*K$771,2)</f>
        <v>-0.04</v>
      </c>
      <c r="L790" s="16">
        <f>IF(ISBLANK($C790),0,IF($C790&lt;$C$772,ROUND($C$772*$L$771,2),IF($C790&gt;L$772,ROUND(L$772*L$771,2),ROUND($C790*L$771,2))))</f>
        <v>55900</v>
      </c>
      <c r="M790" s="17">
        <f>IF($C790&gt;L$772,ROUND(($C790-L$772)*M$771,2),0)</f>
        <v>0</v>
      </c>
      <c r="N790" s="17">
        <f>K790</f>
        <v>-0.04</v>
      </c>
      <c r="O790" s="42"/>
      <c r="P790" s="42"/>
      <c r="Q790" s="17">
        <f>SUM(L790:M790)</f>
        <v>55900</v>
      </c>
      <c r="R790" s="104" t="e">
        <f>ROUND(SUM(K790:M790)*(R789-1),2)</f>
        <v>#N/A</v>
      </c>
      <c r="S790" s="42">
        <f>ROUND($B790*S$771*S789,2)</f>
        <v>0</v>
      </c>
      <c r="T790" s="42">
        <f>ROUND($B790*T$771,2)</f>
        <v>0</v>
      </c>
      <c r="U790" s="42">
        <f>ROUND($B790*U$771,2)</f>
        <v>0</v>
      </c>
      <c r="V790" s="41">
        <f>ROUND($B790*V$763,2)</f>
        <v>0</v>
      </c>
      <c r="W790" s="42">
        <f>ROUND($B790*W$771,2)</f>
        <v>0</v>
      </c>
      <c r="X790" s="42">
        <f>ROUND($B790*X$771,2)</f>
        <v>0</v>
      </c>
      <c r="Y790" s="42">
        <f>ROUND($B790*Y$771,2)</f>
        <v>0</v>
      </c>
      <c r="Z790" s="42">
        <f>ROUND($B790*Z$771,2)</f>
        <v>0</v>
      </c>
      <c r="AA790" s="42">
        <f>ROUND($B790*AA$771,2)</f>
        <v>0</v>
      </c>
      <c r="AB790" s="19">
        <f>SUM(U$771:AA$771)+(-V$771+V767)</f>
        <v>1.5569999999999994E-3</v>
      </c>
      <c r="AC790" s="94" t="str">
        <f>+F790</f>
        <v>HL17</v>
      </c>
    </row>
    <row r="791" spans="1:29" x14ac:dyDescent="0.2">
      <c r="A791" s="9"/>
      <c r="B791" s="103">
        <v>-1</v>
      </c>
      <c r="D791" s="8"/>
      <c r="E791" s="9"/>
      <c r="F791" s="36"/>
      <c r="G791" s="17"/>
      <c r="H791" s="19"/>
      <c r="J791" s="51"/>
      <c r="K791" s="17"/>
      <c r="L791" s="16"/>
      <c r="M791" s="17"/>
      <c r="N791" s="17"/>
      <c r="O791" s="17"/>
      <c r="P791" s="17"/>
      <c r="Q791" s="17"/>
      <c r="R791" s="38" t="e">
        <f>VLOOKUP((D792),'Pwr Factor'!$A$1:$B$52,2)</f>
        <v>#N/A</v>
      </c>
      <c r="S791" s="50">
        <v>0.1</v>
      </c>
      <c r="T791" s="17"/>
      <c r="U791" s="17"/>
      <c r="V791" s="8"/>
      <c r="W791" s="17"/>
      <c r="X791" s="17"/>
      <c r="Y791" s="17"/>
      <c r="Z791" s="17"/>
      <c r="AA791" s="17"/>
      <c r="AB791" s="19"/>
      <c r="AC791" s="67"/>
    </row>
    <row r="792" spans="1:29" x14ac:dyDescent="0.2">
      <c r="A792" s="1" t="s">
        <v>164</v>
      </c>
      <c r="B792" s="103">
        <f>IF(AND('AES Indiana Bill Calc.'!$D$17="HL1",'AES Indiana Bill Calc.'!$D$18="Yes 10%",'AES Indiana Bill Calc.'!$D$20="Yes Before 2018"),'AES Indiana Bill Calc.'!$D$19,-1)</f>
        <v>-1</v>
      </c>
      <c r="C792" s="103">
        <f>MAX(E792,$C$769)</f>
        <v>2000</v>
      </c>
      <c r="D792" s="103" t="b">
        <f>IF(AND('AES Indiana Bill Calc.'!$D$17="HL1",'AES Indiana Bill Calc.'!$D$18="Yes 10%",'AES Indiana Bill Calc.'!$D$20="Yes Before 2018"),'AES Indiana Bill Calc.'!$D$22)</f>
        <v>0</v>
      </c>
      <c r="E792" s="103" t="b">
        <f>IF(AND('AES Indiana Bill Calc.'!$D$17="HL1",'AES Indiana Bill Calc.'!$D$18="Yes 10%",'AES Indiana Bill Calc.'!$D$20="Yes Before 2018"),'AES Indiana Bill Calc.'!$D$21)</f>
        <v>0</v>
      </c>
      <c r="F792" s="36" t="s">
        <v>234</v>
      </c>
      <c r="G792" s="92" t="e">
        <f>SUM(J792:M792,R792:AA792)</f>
        <v>#N/A</v>
      </c>
      <c r="H792" s="19" t="e">
        <f>IF(ISBLANK(B792),0,+#REF!/B792)</f>
        <v>#REF!</v>
      </c>
      <c r="J792" s="88">
        <f>IF(ISBLANK(B792),0,+J$771)</f>
        <v>130</v>
      </c>
      <c r="K792" s="42">
        <f>ROUND($B792*K$771,2)</f>
        <v>-0.04</v>
      </c>
      <c r="L792" s="16">
        <f>IF(ISBLANK($C792),0,IF($C792&lt;$C$772,ROUND($C$772*$L$771,2),IF($C792&gt;L$772,ROUND(L$772*L$771,2),ROUND($C792*L$771,2))))</f>
        <v>55900</v>
      </c>
      <c r="M792" s="17">
        <f>IF($C792&gt;L$772,ROUND(($C792-L$772)*M$771,2),0)</f>
        <v>0</v>
      </c>
      <c r="N792" s="17">
        <f>K792</f>
        <v>-0.04</v>
      </c>
      <c r="O792" s="42"/>
      <c r="P792" s="42"/>
      <c r="Q792" s="17">
        <f>SUM(L792:M792)</f>
        <v>55900</v>
      </c>
      <c r="R792" s="104" t="e">
        <f>ROUND(SUM(K792:M792)*(R791-1),2)</f>
        <v>#N/A</v>
      </c>
      <c r="S792" s="42">
        <f>ROUND($B792*S$771*S791,2)</f>
        <v>0</v>
      </c>
      <c r="T792" s="42">
        <f>ROUND($B792*T$771,2)</f>
        <v>0</v>
      </c>
      <c r="U792" s="42">
        <f>ROUND($B792*U$771,2)</f>
        <v>0</v>
      </c>
      <c r="V792" s="41">
        <f>ROUND($B792*V$763,2)</f>
        <v>0</v>
      </c>
      <c r="W792" s="42">
        <f>ROUND($B792*W$771,2)</f>
        <v>0</v>
      </c>
      <c r="X792" s="42">
        <f>ROUND($B792*X$771,2)</f>
        <v>0</v>
      </c>
      <c r="Y792" s="42">
        <f>ROUND($B792*Y$771,2)</f>
        <v>0</v>
      </c>
      <c r="Z792" s="42">
        <f>ROUND($B792*Z$771,2)</f>
        <v>0</v>
      </c>
      <c r="AA792" s="42">
        <f>ROUND($B792*AA$771,2)</f>
        <v>0</v>
      </c>
      <c r="AB792" s="19">
        <f>SUM(U$771:AA$771)+(-V$771+V771)</f>
        <v>7.894E-3</v>
      </c>
      <c r="AC792" s="94" t="str">
        <f>+F792</f>
        <v>HL17</v>
      </c>
    </row>
    <row r="793" spans="1:29" x14ac:dyDescent="0.2">
      <c r="A793" s="9"/>
      <c r="B793" s="103">
        <v>-1</v>
      </c>
      <c r="D793" s="8"/>
      <c r="E793" s="9"/>
      <c r="F793" s="36"/>
      <c r="G793" s="17"/>
      <c r="H793" s="19"/>
      <c r="J793" s="51"/>
      <c r="K793" s="17"/>
      <c r="L793" s="16"/>
      <c r="M793" s="17"/>
      <c r="N793" s="17"/>
      <c r="O793" s="17"/>
      <c r="P793" s="17"/>
      <c r="Q793" s="17"/>
      <c r="R793" s="38" t="e">
        <f>VLOOKUP((D794),'Pwr Factor'!$A$1:$B$52,2)</f>
        <v>#N/A</v>
      </c>
      <c r="S793" s="50">
        <v>0</v>
      </c>
      <c r="T793" s="17"/>
      <c r="U793" s="17"/>
      <c r="V793" s="8"/>
      <c r="W793" s="17"/>
      <c r="X793" s="17"/>
      <c r="Y793" s="17"/>
      <c r="Z793" s="17"/>
      <c r="AA793" s="17"/>
      <c r="AB793" s="19"/>
      <c r="AC793" s="67"/>
    </row>
    <row r="794" spans="1:29" x14ac:dyDescent="0.2">
      <c r="A794" s="1" t="s">
        <v>147</v>
      </c>
      <c r="B794" s="103">
        <f>IF(AND('AES Indiana Bill Calc.'!$D$17="HL1",'AES Indiana Bill Calc.'!$D$18="No",'AES Indiana Bill Calc.'!$D$20="Yes Before 2018"),'AES Indiana Bill Calc.'!$D$19,-1)</f>
        <v>-1</v>
      </c>
      <c r="C794" s="103">
        <f>MAX(E794,$C$769)</f>
        <v>2000</v>
      </c>
      <c r="D794" s="103" t="b">
        <f>IF(AND('AES Indiana Bill Calc.'!$D$17="HL1",'AES Indiana Bill Calc.'!$D$18="No",'AES Indiana Bill Calc.'!$D$20="Yes Before 2018"),'AES Indiana Bill Calc.'!$D$22)</f>
        <v>0</v>
      </c>
      <c r="E794" s="103" t="b">
        <f>IF(AND('AES Indiana Bill Calc.'!$D$17="HL1",'AES Indiana Bill Calc.'!$D$18="No",'AES Indiana Bill Calc.'!$D$20="Yes Before 2018"),'AES Indiana Bill Calc.'!$D$21)</f>
        <v>0</v>
      </c>
      <c r="F794" s="36" t="s">
        <v>234</v>
      </c>
      <c r="G794" s="92" t="e">
        <f>SUM(J794:M794,R794:AA794)</f>
        <v>#N/A</v>
      </c>
      <c r="H794" s="19" t="e">
        <f>IF(ISBLANK(B794),0,+#REF!/B794)</f>
        <v>#REF!</v>
      </c>
      <c r="J794" s="88">
        <f>IF(ISBLANK(B794),0,+J$771)</f>
        <v>130</v>
      </c>
      <c r="K794" s="42">
        <f>ROUND($B794*K$771,2)</f>
        <v>-0.04</v>
      </c>
      <c r="L794" s="16">
        <f>IF(ISBLANK($C794),0,IF($C794&lt;$C$772,ROUND($C$772*$L$771,2),IF($C794&gt;L$772,ROUND(L$772*L$771,2),ROUND($C794*L$771,2))))</f>
        <v>55900</v>
      </c>
      <c r="M794" s="17">
        <f>IF($C794&gt;L$772,ROUND(($C794-L$772)*M$771,2),0)</f>
        <v>0</v>
      </c>
      <c r="N794" s="17">
        <f>K794</f>
        <v>-0.04</v>
      </c>
      <c r="O794" s="42"/>
      <c r="P794" s="42"/>
      <c r="Q794" s="17">
        <f>SUM(L794:M794)</f>
        <v>55900</v>
      </c>
      <c r="R794" s="104" t="e">
        <f>ROUND(SUM(K794:M794)*(R793-1),2)</f>
        <v>#N/A</v>
      </c>
      <c r="S794" s="42">
        <f>ROUND($B794*S$771*S793,2)</f>
        <v>0</v>
      </c>
      <c r="T794" s="42">
        <f>ROUND($B794*T$771,2)</f>
        <v>0</v>
      </c>
      <c r="U794" s="42">
        <f>ROUND($B794*U$771,2)</f>
        <v>0</v>
      </c>
      <c r="V794" s="41">
        <f>ROUND($B794*V$763,2)</f>
        <v>0</v>
      </c>
      <c r="W794" s="42">
        <f>ROUND($B794*W$771,2)</f>
        <v>0</v>
      </c>
      <c r="X794" s="42">
        <f>ROUND($B794*X$771,2)</f>
        <v>0</v>
      </c>
      <c r="Y794" s="42">
        <f>ROUND($B794*Y$771,2)</f>
        <v>0</v>
      </c>
      <c r="Z794" s="42">
        <f>ROUND($B794*Z$771,2)</f>
        <v>0</v>
      </c>
      <c r="AA794" s="42">
        <f>ROUND($B794*AA$771,2)</f>
        <v>0</v>
      </c>
      <c r="AB794" s="19">
        <f>SUM(U$771:AA$771)+(-V$771+V773)</f>
        <v>22.002369999999999</v>
      </c>
      <c r="AC794" s="94" t="str">
        <f>+F794</f>
        <v>HL17</v>
      </c>
    </row>
    <row r="795" spans="1:29" x14ac:dyDescent="0.2">
      <c r="B795" s="103">
        <v>-1</v>
      </c>
      <c r="D795" s="8"/>
      <c r="E795" s="9"/>
      <c r="F795" s="36"/>
      <c r="G795" s="17"/>
      <c r="H795" s="19"/>
      <c r="I795" s="12"/>
      <c r="J795" s="12"/>
      <c r="K795" s="12"/>
      <c r="L795" s="12"/>
      <c r="M795" s="12"/>
      <c r="N795" s="12"/>
      <c r="O795" s="12"/>
      <c r="P795" s="12"/>
      <c r="Q795" s="12"/>
      <c r="R795" s="38" t="e">
        <f>VLOOKUP((D796),'Pwr Factor'!$A$1:$B$52,2)</f>
        <v>#N/A</v>
      </c>
      <c r="S795" s="50">
        <v>1</v>
      </c>
      <c r="T795" s="12"/>
      <c r="U795" s="12"/>
      <c r="V795" s="12"/>
      <c r="W795" s="12"/>
      <c r="X795" s="12"/>
      <c r="Y795" s="12"/>
      <c r="Z795" s="12"/>
      <c r="AA795" s="12"/>
    </row>
    <row r="796" spans="1:29" x14ac:dyDescent="0.2">
      <c r="A796" s="1" t="s">
        <v>148</v>
      </c>
      <c r="B796" s="103">
        <f>IF(AND('AES Indiana Bill Calc.'!$D$17="HL1",'AES Indiana Bill Calc.'!$D$18="Yes 100%",'AES Indiana Bill Calc.'!$D$20="Yes 2018"),'AES Indiana Bill Calc.'!$D$19,-1)</f>
        <v>-1</v>
      </c>
      <c r="C796" s="103">
        <f>MAX(E796,$C$769)</f>
        <v>2000</v>
      </c>
      <c r="D796" s="103" t="b">
        <f>IF(AND('AES Indiana Bill Calc.'!$D$17="HL1",'AES Indiana Bill Calc.'!$D$18="Yes 100%",'AES Indiana Bill Calc.'!$D$20="Yes 2018"),'AES Indiana Bill Calc.'!$D$22)</f>
        <v>0</v>
      </c>
      <c r="E796" s="103" t="b">
        <f>IF(AND('AES Indiana Bill Calc.'!$D$17="HL1",'AES Indiana Bill Calc.'!$D$18="Yes 100%",'AES Indiana Bill Calc.'!$D$20="Yes 2018"),'AES Indiana Bill Calc.'!$D$21)</f>
        <v>0</v>
      </c>
      <c r="F796" s="36" t="s">
        <v>235</v>
      </c>
      <c r="G796" s="92" t="e">
        <f>SUM(J796:M796,R796:AA796)</f>
        <v>#N/A</v>
      </c>
      <c r="H796" s="19" t="e">
        <f>IF(ISBLANK(B796),0,+#REF!/B796)</f>
        <v>#REF!</v>
      </c>
      <c r="I796" s="19"/>
      <c r="J796" s="88">
        <f>IF(ISBLANK(B796),0,+J$771)</f>
        <v>130</v>
      </c>
      <c r="K796" s="42">
        <f>ROUND($B796*K$771,2)</f>
        <v>-0.04</v>
      </c>
      <c r="L796" s="16">
        <f>IF(ISBLANK($C796),0,IF($C796&lt;$C$772,ROUND($C$772*$L$771,2),IF($C796&gt;L$772,ROUND(L$772*L$771,2),ROUND($C796*L$771,2))))</f>
        <v>55900</v>
      </c>
      <c r="M796" s="17">
        <f>IF($C796&gt;L$772,ROUND(($C796-L$772)*M$771,2),0)</f>
        <v>0</v>
      </c>
      <c r="N796" s="17">
        <f>K796</f>
        <v>-0.04</v>
      </c>
      <c r="O796" s="42"/>
      <c r="P796" s="42"/>
      <c r="Q796" s="17">
        <f>SUM(L796:M796)</f>
        <v>55900</v>
      </c>
      <c r="R796" s="82" t="e">
        <f>ROUND(SUM(K796:M796)*(R795-1),2)</f>
        <v>#N/A</v>
      </c>
      <c r="S796" s="42">
        <f>ROUND($B796*S$771*S795,2)</f>
        <v>0</v>
      </c>
      <c r="T796" s="42">
        <f>ROUND($B796*T$771,2)</f>
        <v>0</v>
      </c>
      <c r="U796" s="42">
        <f>ROUND($B796*U$771,2)</f>
        <v>0</v>
      </c>
      <c r="V796" s="42">
        <f>ROUND($B796*V$764,2)</f>
        <v>0</v>
      </c>
      <c r="W796" s="42">
        <f>ROUND($B796*W$771,2)</f>
        <v>0</v>
      </c>
      <c r="X796" s="42">
        <f>ROUND($B796*X$771,2)</f>
        <v>0</v>
      </c>
      <c r="Y796" s="42">
        <f>ROUND($B796*Y$771,2)</f>
        <v>0</v>
      </c>
      <c r="Z796" s="42">
        <f>ROUND($B796*Z$771,2)</f>
        <v>0</v>
      </c>
      <c r="AA796" s="42">
        <f>ROUND($B796*AA$771,2)</f>
        <v>0</v>
      </c>
      <c r="AB796" s="19" t="e">
        <f>SUM(#REF!)</f>
        <v>#REF!</v>
      </c>
      <c r="AC796" s="94" t="str">
        <f>+F796</f>
        <v>HL18</v>
      </c>
    </row>
    <row r="797" spans="1:29" x14ac:dyDescent="0.2">
      <c r="A797" s="9"/>
      <c r="B797" s="103">
        <v>-1</v>
      </c>
      <c r="D797" s="8"/>
      <c r="E797" s="9"/>
      <c r="F797" s="36"/>
      <c r="G797" s="17"/>
      <c r="H797" s="19"/>
      <c r="I797" s="12"/>
      <c r="J797" s="12"/>
      <c r="K797" s="12"/>
      <c r="L797" s="12"/>
      <c r="M797" s="12"/>
      <c r="N797" s="12"/>
      <c r="O797" s="12"/>
      <c r="P797" s="12"/>
      <c r="Q797" s="12"/>
      <c r="R797" s="38" t="e">
        <f>VLOOKUP((D798),'Pwr Factor'!$A$1:$B$52,2)</f>
        <v>#N/A</v>
      </c>
      <c r="S797" s="50">
        <v>0.5</v>
      </c>
      <c r="T797" s="12"/>
      <c r="U797" s="12"/>
      <c r="V797" s="12"/>
      <c r="W797" s="12"/>
      <c r="X797" s="12"/>
      <c r="Y797" s="12"/>
      <c r="Z797" s="12"/>
      <c r="AA797" s="12"/>
    </row>
    <row r="798" spans="1:29" x14ac:dyDescent="0.2">
      <c r="A798" s="1" t="s">
        <v>149</v>
      </c>
      <c r="B798" s="103">
        <f>IF(AND('AES Indiana Bill Calc.'!$D$17="HL1",'AES Indiana Bill Calc.'!$D$18="Yes 50%",'AES Indiana Bill Calc.'!$D$20="Yes 2018"),'AES Indiana Bill Calc.'!$D$19,-1)</f>
        <v>-1</v>
      </c>
      <c r="C798" s="103">
        <f>MAX(E798,$C$769)</f>
        <v>2000</v>
      </c>
      <c r="D798" s="103" t="b">
        <f>IF(AND('AES Indiana Bill Calc.'!$D$17="HL1",'AES Indiana Bill Calc.'!$D$18="Yes 50%",'AES Indiana Bill Calc.'!$D$20="Yes 2018"),'AES Indiana Bill Calc.'!$D$22)</f>
        <v>0</v>
      </c>
      <c r="E798" s="103" t="b">
        <f>IF(AND('AES Indiana Bill Calc.'!$D$17="HL1",'AES Indiana Bill Calc.'!$D$18="Yes 50%",'AES Indiana Bill Calc.'!$D$20="Yes 2018"),'AES Indiana Bill Calc.'!$D$21)</f>
        <v>0</v>
      </c>
      <c r="F798" s="36" t="s">
        <v>235</v>
      </c>
      <c r="G798" s="92" t="e">
        <f>SUM(J798:M798,R798:AA798)</f>
        <v>#N/A</v>
      </c>
      <c r="H798" s="19" t="e">
        <f>IF(ISBLANK(B798),0,+#REF!/B798)</f>
        <v>#REF!</v>
      </c>
      <c r="I798" s="19"/>
      <c r="J798" s="88">
        <f>IF(ISBLANK(B798),0,+J$771)</f>
        <v>130</v>
      </c>
      <c r="K798" s="42">
        <f>ROUND($B798*K$771,2)</f>
        <v>-0.04</v>
      </c>
      <c r="L798" s="16">
        <f>IF(ISBLANK($C798),0,IF($C798&lt;$C$772,ROUND($C$772*$L$771,2),IF($C798&gt;L$772,ROUND(L$772*L$771,2),ROUND($C798*L$771,2))))</f>
        <v>55900</v>
      </c>
      <c r="M798" s="17">
        <f>IF($C798&gt;L$772,ROUND(($C798-L$772)*M$771,2),0)</f>
        <v>0</v>
      </c>
      <c r="N798" s="17">
        <f>K798</f>
        <v>-0.04</v>
      </c>
      <c r="O798" s="42"/>
      <c r="P798" s="42"/>
      <c r="Q798" s="17">
        <f>SUM(L798:M798)</f>
        <v>55900</v>
      </c>
      <c r="R798" s="82" t="e">
        <f>ROUND(SUM(K798:M798)*(R797-1),2)</f>
        <v>#N/A</v>
      </c>
      <c r="S798" s="42">
        <f>ROUND($B798*S$771*S797,2)</f>
        <v>0</v>
      </c>
      <c r="T798" s="42">
        <f>ROUND($B798*T$771,2)</f>
        <v>0</v>
      </c>
      <c r="U798" s="42">
        <f>ROUND($B798*U$771,2)</f>
        <v>0</v>
      </c>
      <c r="V798" s="42">
        <f>ROUND($B798*V$764,2)</f>
        <v>0</v>
      </c>
      <c r="W798" s="42">
        <f>ROUND($B798*W$771,2)</f>
        <v>0</v>
      </c>
      <c r="X798" s="42">
        <f>ROUND($B798*X$771,2)</f>
        <v>0</v>
      </c>
      <c r="Y798" s="42">
        <f>ROUND($B798*Y$771,2)</f>
        <v>0</v>
      </c>
      <c r="Z798" s="42">
        <f>ROUND($B798*Z$771,2)</f>
        <v>0</v>
      </c>
      <c r="AA798" s="42">
        <f>ROUND($B798*AA$771,2)</f>
        <v>0</v>
      </c>
      <c r="AB798" s="19" t="e">
        <f>SUM(#REF!)</f>
        <v>#REF!</v>
      </c>
      <c r="AC798" s="94" t="str">
        <f>+F798</f>
        <v>HL18</v>
      </c>
    </row>
    <row r="799" spans="1:29" x14ac:dyDescent="0.2">
      <c r="A799" s="9"/>
      <c r="B799" s="103">
        <v>-1</v>
      </c>
      <c r="D799" s="8"/>
      <c r="E799" s="9"/>
      <c r="F799" s="36"/>
      <c r="G799" s="17"/>
      <c r="H799" s="19"/>
      <c r="I799" s="12"/>
      <c r="J799" s="12"/>
      <c r="K799" s="12"/>
      <c r="L799" s="12"/>
      <c r="M799" s="12"/>
      <c r="N799" s="12"/>
      <c r="O799" s="12"/>
      <c r="P799" s="12"/>
      <c r="Q799" s="12"/>
      <c r="R799" s="38" t="e">
        <f>VLOOKUP((D800),'Pwr Factor'!$A$1:$B$52,2)</f>
        <v>#N/A</v>
      </c>
      <c r="S799" s="50">
        <v>0.25</v>
      </c>
      <c r="T799" s="12"/>
      <c r="U799" s="12"/>
      <c r="V799" s="12"/>
      <c r="W799" s="12"/>
      <c r="X799" s="12"/>
      <c r="Y799" s="12"/>
      <c r="Z799" s="12"/>
      <c r="AA799" s="12"/>
    </row>
    <row r="800" spans="1:29" x14ac:dyDescent="0.2">
      <c r="A800" s="1" t="s">
        <v>150</v>
      </c>
      <c r="B800" s="103">
        <f>IF(AND('AES Indiana Bill Calc.'!$D$17="HL1",'AES Indiana Bill Calc.'!$D$18="Yes 25%",'AES Indiana Bill Calc.'!$D$20="Yes 2018"),'AES Indiana Bill Calc.'!$D$19,-1)</f>
        <v>-1</v>
      </c>
      <c r="C800" s="103">
        <f>MAX(E800,$C$769)</f>
        <v>2000</v>
      </c>
      <c r="D800" s="103" t="b">
        <f>IF(AND('AES Indiana Bill Calc.'!$D$17="HL1",'AES Indiana Bill Calc.'!$D$18="Yes 25%",'AES Indiana Bill Calc.'!$D$20="Yes 2018"),'AES Indiana Bill Calc.'!$D$22)</f>
        <v>0</v>
      </c>
      <c r="E800" s="103" t="b">
        <f>IF(AND('AES Indiana Bill Calc.'!$D$17="HL1",'AES Indiana Bill Calc.'!$D$18="Yes 25%",'AES Indiana Bill Calc.'!$D$20="Yes 2018"),'AES Indiana Bill Calc.'!$D$21)</f>
        <v>0</v>
      </c>
      <c r="F800" s="36" t="s">
        <v>235</v>
      </c>
      <c r="G800" s="92" t="e">
        <f>SUM(J800:M800,R800:AA800)</f>
        <v>#N/A</v>
      </c>
      <c r="H800" s="19" t="e">
        <f>IF(ISBLANK(B800),0,+#REF!/B800)</f>
        <v>#REF!</v>
      </c>
      <c r="I800" s="19"/>
      <c r="J800" s="88">
        <f>IF(ISBLANK(B800),0,+J$771)</f>
        <v>130</v>
      </c>
      <c r="K800" s="42">
        <f>ROUND($B800*K$771,2)</f>
        <v>-0.04</v>
      </c>
      <c r="L800" s="16">
        <f>IF(ISBLANK($C800),0,IF($C800&lt;$C$772,ROUND($C$772*$L$771,2),IF($C800&gt;L$772,ROUND(L$772*L$771,2),ROUND($C800*L$771,2))))</f>
        <v>55900</v>
      </c>
      <c r="M800" s="17">
        <f>IF($C800&gt;L$772,ROUND(($C800-L$772)*M$771,2),0)</f>
        <v>0</v>
      </c>
      <c r="N800" s="17">
        <f>K800</f>
        <v>-0.04</v>
      </c>
      <c r="O800" s="42"/>
      <c r="P800" s="42"/>
      <c r="Q800" s="17">
        <f>SUM(L800:M800)</f>
        <v>55900</v>
      </c>
      <c r="R800" s="82" t="e">
        <f>ROUND(SUM(K800:M800)*(R799-1),2)</f>
        <v>#N/A</v>
      </c>
      <c r="S800" s="42">
        <f>ROUND($B800*S$771*S799,2)</f>
        <v>0</v>
      </c>
      <c r="T800" s="42">
        <f>ROUND($B800*T$771,2)</f>
        <v>0</v>
      </c>
      <c r="U800" s="42">
        <f>ROUND($B800*U$771,2)</f>
        <v>0</v>
      </c>
      <c r="V800" s="42">
        <f>ROUND($B800*V$764,2)</f>
        <v>0</v>
      </c>
      <c r="W800" s="42">
        <f>ROUND($B800*W$771,2)</f>
        <v>0</v>
      </c>
      <c r="X800" s="42">
        <f>ROUND($B800*X$771,2)</f>
        <v>0</v>
      </c>
      <c r="Y800" s="42">
        <f>ROUND($B800*Y$771,2)</f>
        <v>0</v>
      </c>
      <c r="Z800" s="42">
        <f>ROUND($B800*Z$771,2)</f>
        <v>0</v>
      </c>
      <c r="AA800" s="42">
        <f>ROUND($B800*AA$771,2)</f>
        <v>0</v>
      </c>
      <c r="AB800" s="19" t="e">
        <f>SUM(#REF!)</f>
        <v>#REF!</v>
      </c>
      <c r="AC800" s="94" t="str">
        <f>+F800</f>
        <v>HL18</v>
      </c>
    </row>
    <row r="801" spans="1:238" x14ac:dyDescent="0.2">
      <c r="A801" s="9"/>
      <c r="B801" s="103">
        <v>-1</v>
      </c>
      <c r="D801" s="8"/>
      <c r="E801" s="9"/>
      <c r="F801" s="36"/>
      <c r="G801" s="17"/>
      <c r="H801" s="19"/>
      <c r="I801" s="12"/>
      <c r="J801" s="12"/>
      <c r="K801" s="12"/>
      <c r="L801" s="12"/>
      <c r="M801" s="12"/>
      <c r="N801" s="12"/>
      <c r="O801" s="12"/>
      <c r="P801" s="12"/>
      <c r="Q801" s="12"/>
      <c r="R801" s="38" t="e">
        <f>VLOOKUP((D802),'Pwr Factor'!$A$1:$B$52,2)</f>
        <v>#N/A</v>
      </c>
      <c r="S801" s="50">
        <v>0.1</v>
      </c>
      <c r="T801" s="12"/>
      <c r="U801" s="12"/>
      <c r="V801" s="12"/>
      <c r="W801" s="12"/>
      <c r="X801" s="12"/>
      <c r="Y801" s="12"/>
      <c r="Z801" s="12"/>
      <c r="AA801" s="12"/>
    </row>
    <row r="802" spans="1:238" x14ac:dyDescent="0.2">
      <c r="A802" s="1" t="s">
        <v>164</v>
      </c>
      <c r="B802" s="103">
        <f>IF(AND('AES Indiana Bill Calc.'!$D$17="HL1",'AES Indiana Bill Calc.'!$D$18="Yes 10%",'AES Indiana Bill Calc.'!$D$20="Yes 2018"),'AES Indiana Bill Calc.'!$D$19,-1)</f>
        <v>-1</v>
      </c>
      <c r="C802" s="103">
        <f>MAX(E802,$C$769)</f>
        <v>2000</v>
      </c>
      <c r="D802" s="103" t="b">
        <f>IF(AND('AES Indiana Bill Calc.'!$D$17="HL1",'AES Indiana Bill Calc.'!$D$18="Yes 10%",'AES Indiana Bill Calc.'!$D$20="Yes 2018"),'AES Indiana Bill Calc.'!$D$22)</f>
        <v>0</v>
      </c>
      <c r="E802" s="103" t="b">
        <f>IF(AND('AES Indiana Bill Calc.'!$D$17="HL1",'AES Indiana Bill Calc.'!$D$18="Yes 10%",'AES Indiana Bill Calc.'!$D$20="Yes 2018"),'AES Indiana Bill Calc.'!$D$21)</f>
        <v>0</v>
      </c>
      <c r="F802" s="36" t="s">
        <v>235</v>
      </c>
      <c r="G802" s="92" t="e">
        <f>SUM(J802:M802,R802:AA802)</f>
        <v>#N/A</v>
      </c>
      <c r="H802" s="19" t="e">
        <f>IF(ISBLANK(B802),0,+#REF!/B802)</f>
        <v>#REF!</v>
      </c>
      <c r="I802" s="19"/>
      <c r="J802" s="88">
        <f>IF(ISBLANK(B802),0,+J$771)</f>
        <v>130</v>
      </c>
      <c r="K802" s="42">
        <f>ROUND($B802*K$771,2)</f>
        <v>-0.04</v>
      </c>
      <c r="L802" s="16">
        <f>IF(ISBLANK($C802),0,IF($C802&lt;$C$772,ROUND($C$772*$L$771,2),IF($C802&gt;L$772,ROUND(L$772*L$771,2),ROUND($C802*L$771,2))))</f>
        <v>55900</v>
      </c>
      <c r="M802" s="17">
        <f>IF($C802&gt;L$772,ROUND(($C802-L$772)*M$771,2),0)</f>
        <v>0</v>
      </c>
      <c r="N802" s="17">
        <f>K802</f>
        <v>-0.04</v>
      </c>
      <c r="O802" s="42"/>
      <c r="P802" s="42"/>
      <c r="Q802" s="17">
        <f>SUM(L802:M802)</f>
        <v>55900</v>
      </c>
      <c r="R802" s="82" t="e">
        <f>ROUND(SUM(K802:M802)*(R801-1),2)</f>
        <v>#N/A</v>
      </c>
      <c r="S802" s="42">
        <f>ROUND($B802*S$771*S801,2)</f>
        <v>0</v>
      </c>
      <c r="T802" s="42">
        <f>ROUND($B802*T$771,2)</f>
        <v>0</v>
      </c>
      <c r="U802" s="42">
        <f>ROUND($B802*U$771,2)</f>
        <v>0</v>
      </c>
      <c r="V802" s="42">
        <f>ROUND($B802*V$764,2)</f>
        <v>0</v>
      </c>
      <c r="W802" s="42">
        <f>ROUND($B802*W$771,2)</f>
        <v>0</v>
      </c>
      <c r="X802" s="42">
        <f>ROUND($B802*X$771,2)</f>
        <v>0</v>
      </c>
      <c r="Y802" s="42">
        <f>ROUND($B802*Y$771,2)</f>
        <v>0</v>
      </c>
      <c r="Z802" s="42">
        <f>ROUND($B802*Z$771,2)</f>
        <v>0</v>
      </c>
      <c r="AA802" s="42">
        <f>ROUND($B802*AA$771,2)</f>
        <v>0</v>
      </c>
      <c r="AB802" s="19" t="e">
        <f>SUM(#REF!)</f>
        <v>#REF!</v>
      </c>
      <c r="AC802" s="94" t="str">
        <f>+F802</f>
        <v>HL18</v>
      </c>
    </row>
    <row r="803" spans="1:238" x14ac:dyDescent="0.2">
      <c r="A803" s="9"/>
      <c r="B803" s="103">
        <v>-1</v>
      </c>
      <c r="D803" s="8"/>
      <c r="E803" s="9"/>
      <c r="F803" s="36"/>
      <c r="G803" s="17"/>
      <c r="H803" s="19"/>
      <c r="I803" s="12"/>
      <c r="J803" s="12"/>
      <c r="K803" s="12"/>
      <c r="L803" s="12"/>
      <c r="M803" s="12"/>
      <c r="N803" s="12"/>
      <c r="O803" s="12"/>
      <c r="P803" s="12"/>
      <c r="Q803" s="12"/>
      <c r="R803" s="38" t="e">
        <f>VLOOKUP((D804),'Pwr Factor'!$A$1:$B$52,2)</f>
        <v>#N/A</v>
      </c>
      <c r="S803" s="50">
        <v>0</v>
      </c>
      <c r="T803" s="12"/>
      <c r="U803" s="12"/>
      <c r="V803" s="12"/>
      <c r="W803" s="12"/>
      <c r="X803" s="12"/>
      <c r="Y803" s="12"/>
      <c r="Z803" s="12"/>
      <c r="AA803" s="12"/>
    </row>
    <row r="804" spans="1:238" x14ac:dyDescent="0.2">
      <c r="A804" s="1" t="s">
        <v>147</v>
      </c>
      <c r="B804" s="103">
        <f>IF(AND('AES Indiana Bill Calc.'!$D$17="HL1",'AES Indiana Bill Calc.'!$D$18="No",'AES Indiana Bill Calc.'!$D$20="Yes 2018"),'AES Indiana Bill Calc.'!$D$19,-1)</f>
        <v>-1</v>
      </c>
      <c r="C804" s="103">
        <f>MAX(E804,$C$769)</f>
        <v>2000</v>
      </c>
      <c r="D804" s="103" t="b">
        <f>IF(AND('AES Indiana Bill Calc.'!$D$17="HL1",'AES Indiana Bill Calc.'!$D$18="No",'AES Indiana Bill Calc.'!$D$20="Yes 2018"),'AES Indiana Bill Calc.'!$D$22)</f>
        <v>0</v>
      </c>
      <c r="E804" s="103" t="b">
        <f>IF(AND('AES Indiana Bill Calc.'!$D$17="HL1",'AES Indiana Bill Calc.'!$D$18="No",'AES Indiana Bill Calc.'!$D$20="Yes 2018"),'AES Indiana Bill Calc.'!$D$21)</f>
        <v>0</v>
      </c>
      <c r="F804" s="36" t="s">
        <v>235</v>
      </c>
      <c r="G804" s="92" t="e">
        <f>SUM(J804:M804,R804:AA804)</f>
        <v>#N/A</v>
      </c>
      <c r="H804" s="19" t="e">
        <f>IF(ISBLANK(B804),0,+#REF!/B804)</f>
        <v>#REF!</v>
      </c>
      <c r="I804" s="19"/>
      <c r="J804" s="88">
        <f>IF(ISBLANK(B804),0,+J$771)</f>
        <v>130</v>
      </c>
      <c r="K804" s="42">
        <f>ROUND($B804*K$771,2)</f>
        <v>-0.04</v>
      </c>
      <c r="L804" s="16">
        <f>IF(ISBLANK($C804),0,IF($C804&lt;$C$772,ROUND($C$772*$L$771,2),IF($C804&gt;L$772,ROUND(L$772*L$771,2),ROUND($C804*L$771,2))))</f>
        <v>55900</v>
      </c>
      <c r="M804" s="17">
        <f>IF($C804&gt;L$772,ROUND(($C804-L$772)*M$771,2),0)</f>
        <v>0</v>
      </c>
      <c r="N804" s="17">
        <f>K804</f>
        <v>-0.04</v>
      </c>
      <c r="O804" s="42"/>
      <c r="P804" s="42"/>
      <c r="Q804" s="17">
        <f>SUM(L804:M804)</f>
        <v>55900</v>
      </c>
      <c r="R804" s="82" t="e">
        <f>ROUND(SUM(K804:M804)*(R803-1),2)</f>
        <v>#N/A</v>
      </c>
      <c r="S804" s="42">
        <f>ROUND($B804*S$771*S803,2)</f>
        <v>0</v>
      </c>
      <c r="T804" s="42">
        <f>ROUND($B804*T$771,2)</f>
        <v>0</v>
      </c>
      <c r="U804" s="42">
        <f>ROUND($B804*U$771,2)</f>
        <v>0</v>
      </c>
      <c r="V804" s="42">
        <f>ROUND($B804*V$764,2)</f>
        <v>0</v>
      </c>
      <c r="W804" s="42">
        <f>ROUND($B804*W$771,2)</f>
        <v>0</v>
      </c>
      <c r="X804" s="42">
        <f>ROUND($B804*X$771,2)</f>
        <v>0</v>
      </c>
      <c r="Y804" s="42">
        <f>ROUND($B804*Y$771,2)</f>
        <v>0</v>
      </c>
      <c r="Z804" s="42">
        <f>ROUND($B804*Z$771,2)</f>
        <v>0</v>
      </c>
      <c r="AA804" s="42">
        <f>ROUND($B804*AA$771,2)</f>
        <v>0</v>
      </c>
      <c r="AB804" s="19" t="e">
        <f>SUM(#REF!)</f>
        <v>#REF!</v>
      </c>
      <c r="AC804" s="94" t="str">
        <f>+F804</f>
        <v>HL18</v>
      </c>
    </row>
    <row r="805" spans="1:238" x14ac:dyDescent="0.2">
      <c r="B805" s="103">
        <v>-1</v>
      </c>
      <c r="D805" s="8"/>
      <c r="E805" s="9"/>
      <c r="F805" s="36"/>
      <c r="G805" s="17"/>
      <c r="H805" s="19"/>
      <c r="I805" s="12"/>
      <c r="J805" s="12"/>
      <c r="K805" s="12"/>
      <c r="L805" s="12"/>
      <c r="M805" s="12"/>
      <c r="N805" s="12"/>
      <c r="O805" s="12"/>
      <c r="P805" s="12"/>
      <c r="Q805" s="12"/>
      <c r="R805" s="38" t="e">
        <f>VLOOKUP((D806),'Pwr Factor'!$A$1:$B$52,2)</f>
        <v>#N/A</v>
      </c>
      <c r="S805" s="50">
        <v>1</v>
      </c>
      <c r="T805" s="12"/>
      <c r="U805" s="12"/>
      <c r="V805" s="12"/>
      <c r="W805" s="12"/>
      <c r="X805" s="12"/>
      <c r="Y805" s="12"/>
      <c r="Z805" s="12"/>
      <c r="AA805" s="12"/>
    </row>
    <row r="806" spans="1:238" s="21" customFormat="1" ht="13.5" thickBot="1" x14ac:dyDescent="0.25">
      <c r="A806" s="1" t="s">
        <v>148</v>
      </c>
      <c r="B806" s="103">
        <f>IF(AND('AES Indiana Bill Calc.'!$D$17="HL1",'AES Indiana Bill Calc.'!$D$18="Yes 100%",'AES Indiana Bill Calc.'!$D$20="Yes 2019"),'AES Indiana Bill Calc.'!$D$19,-1)</f>
        <v>-1</v>
      </c>
      <c r="C806" s="103">
        <f>MAX(E806,$C$769)</f>
        <v>2000</v>
      </c>
      <c r="D806" s="103" t="b">
        <f>IF(AND('AES Indiana Bill Calc.'!$D$17="HL1",'AES Indiana Bill Calc.'!$D$18="Yes 100%",'AES Indiana Bill Calc.'!$D$20="Yes 2019"),'AES Indiana Bill Calc.'!$D$22)</f>
        <v>0</v>
      </c>
      <c r="E806" s="103" t="b">
        <f>IF(AND('AES Indiana Bill Calc.'!$D$17="HL1",'AES Indiana Bill Calc.'!$D$18="Yes 100%",'AES Indiana Bill Calc.'!$D$20="Yes 2019"),'AES Indiana Bill Calc.'!$D$21)</f>
        <v>0</v>
      </c>
      <c r="F806" s="36" t="s">
        <v>236</v>
      </c>
      <c r="G806" s="92" t="e">
        <f>SUM(J806:M806,R806:AA806)</f>
        <v>#N/A</v>
      </c>
      <c r="H806" s="19" t="e">
        <f>IF(ISBLANK(B806),0,+#REF!/B806)</f>
        <v>#REF!</v>
      </c>
      <c r="I806" s="19"/>
      <c r="J806" s="88">
        <f>IF(ISBLANK(B806),0,+J$771)</f>
        <v>130</v>
      </c>
      <c r="K806" s="42">
        <f>ROUND($B806*K$771,2)</f>
        <v>-0.04</v>
      </c>
      <c r="L806" s="16">
        <f>IF(ISBLANK($C806),0,IF($C806&lt;$C$772,ROUND($C$772*$L$771,2),IF($C806&gt;L$772,ROUND(L$772*L$771,2),ROUND($C806*L$771,2))))</f>
        <v>55900</v>
      </c>
      <c r="M806" s="17">
        <f>IF($C806&gt;L$772,ROUND(($C806-L$772)*M$771,2),0)</f>
        <v>0</v>
      </c>
      <c r="N806" s="17">
        <f>K806</f>
        <v>-0.04</v>
      </c>
      <c r="O806" s="42"/>
      <c r="P806" s="42"/>
      <c r="Q806" s="17">
        <f>SUM(L806:M806)</f>
        <v>55900</v>
      </c>
      <c r="R806" s="82" t="e">
        <f>ROUND(SUM(K806:M806)*(R805-1),2)</f>
        <v>#N/A</v>
      </c>
      <c r="S806" s="42">
        <f>ROUND($B806*S$771*S805,2)</f>
        <v>0</v>
      </c>
      <c r="T806" s="42">
        <f>ROUND($B806*T$771,2)</f>
        <v>0</v>
      </c>
      <c r="U806" s="42">
        <f>ROUND($B806*U$771,2)</f>
        <v>0</v>
      </c>
      <c r="V806" s="42">
        <f>ROUND($B806*V$765,2)</f>
        <v>0</v>
      </c>
      <c r="W806" s="42">
        <f>ROUND($B806*W$771,2)</f>
        <v>0</v>
      </c>
      <c r="X806" s="42">
        <f>ROUND($B806*X$771,2)</f>
        <v>0</v>
      </c>
      <c r="Y806" s="42">
        <f>ROUND($B806*Y$771,2)</f>
        <v>0</v>
      </c>
      <c r="Z806" s="42">
        <f>ROUND($B806*Z$771,2)</f>
        <v>0</v>
      </c>
      <c r="AA806" s="42">
        <f>ROUND($B806*AA$771,2)</f>
        <v>0</v>
      </c>
      <c r="AB806" s="19" t="e">
        <f>SUM(#REF!)</f>
        <v>#REF!</v>
      </c>
      <c r="AC806" s="94" t="str">
        <f>+F806</f>
        <v>HL19</v>
      </c>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row>
    <row r="807" spans="1:238" x14ac:dyDescent="0.2">
      <c r="A807" s="9"/>
      <c r="B807" s="103">
        <v>-1</v>
      </c>
      <c r="D807" s="8"/>
      <c r="E807" s="9"/>
      <c r="F807" s="36"/>
      <c r="G807" s="17"/>
      <c r="H807" s="19"/>
      <c r="I807" s="12"/>
      <c r="J807" s="12"/>
      <c r="K807" s="12"/>
      <c r="L807" s="12"/>
      <c r="M807" s="12"/>
      <c r="N807" s="12"/>
      <c r="O807" s="12"/>
      <c r="P807" s="12"/>
      <c r="Q807" s="12"/>
      <c r="R807" s="38" t="e">
        <f>VLOOKUP((D808),'Pwr Factor'!$A$1:$B$52,2)</f>
        <v>#N/A</v>
      </c>
      <c r="S807" s="50">
        <v>0.5</v>
      </c>
      <c r="T807" s="12"/>
      <c r="U807" s="12"/>
      <c r="V807" s="12"/>
      <c r="W807" s="12"/>
      <c r="X807" s="12"/>
      <c r="Y807" s="12"/>
      <c r="Z807" s="12"/>
      <c r="AA807" s="12"/>
    </row>
    <row r="808" spans="1:238" x14ac:dyDescent="0.2">
      <c r="A808" s="1" t="s">
        <v>149</v>
      </c>
      <c r="B808" s="103">
        <f>IF(AND('AES Indiana Bill Calc.'!$D$17="HL1",'AES Indiana Bill Calc.'!$D$18="Yes 50%",'AES Indiana Bill Calc.'!$D$20="Yes 2019"),'AES Indiana Bill Calc.'!$D$19,-1)</f>
        <v>-1</v>
      </c>
      <c r="C808" s="103">
        <f>MAX(E808,$C$769)</f>
        <v>2000</v>
      </c>
      <c r="D808" s="103" t="b">
        <f>IF(AND('AES Indiana Bill Calc.'!$D$17="HL1",'AES Indiana Bill Calc.'!$D$18="Yes 50%",'AES Indiana Bill Calc.'!$D$20="Yes 2019"),'AES Indiana Bill Calc.'!$D$22)</f>
        <v>0</v>
      </c>
      <c r="E808" s="103" t="b">
        <f>IF(AND('AES Indiana Bill Calc.'!$D$17="HL1",'AES Indiana Bill Calc.'!$D$18="Yes 50%",'AES Indiana Bill Calc.'!$D$20="Yes 2019"),'AES Indiana Bill Calc.'!$D$21)</f>
        <v>0</v>
      </c>
      <c r="F808" s="36" t="s">
        <v>236</v>
      </c>
      <c r="G808" s="92" t="e">
        <f>SUM(J808:M808,R808:AA808)</f>
        <v>#N/A</v>
      </c>
      <c r="H808" s="19" t="e">
        <f>IF(ISBLANK(B808),0,+#REF!/B808)</f>
        <v>#REF!</v>
      </c>
      <c r="I808" s="19"/>
      <c r="J808" s="88">
        <f>IF(ISBLANK(B808),0,+J$771)</f>
        <v>130</v>
      </c>
      <c r="K808" s="42">
        <f>ROUND($B808*K$771,2)</f>
        <v>-0.04</v>
      </c>
      <c r="L808" s="16">
        <f>IF(ISBLANK($C808),0,IF($C808&lt;$C$772,ROUND($C$772*$L$771,2),IF($C808&gt;L$772,ROUND(L$772*L$771,2),ROUND($C808*L$771,2))))</f>
        <v>55900</v>
      </c>
      <c r="M808" s="17">
        <f>IF($C808&gt;L$772,ROUND(($C808-L$772)*M$771,2),0)</f>
        <v>0</v>
      </c>
      <c r="N808" s="17">
        <f>K808</f>
        <v>-0.04</v>
      </c>
      <c r="O808" s="42"/>
      <c r="P808" s="42"/>
      <c r="Q808" s="17">
        <f>SUM(L808:M808)</f>
        <v>55900</v>
      </c>
      <c r="R808" s="82" t="e">
        <f>ROUND(SUM(K808:M808)*(R807-1),2)</f>
        <v>#N/A</v>
      </c>
      <c r="S808" s="42">
        <f>ROUND($B808*S$771*S807,2)</f>
        <v>0</v>
      </c>
      <c r="T808" s="42">
        <f>ROUND($B808*T$771,2)</f>
        <v>0</v>
      </c>
      <c r="U808" s="42">
        <f>ROUND($B808*U$771,2)</f>
        <v>0</v>
      </c>
      <c r="V808" s="42">
        <f>ROUND($B808*V$765,2)</f>
        <v>0</v>
      </c>
      <c r="W808" s="42">
        <f>ROUND($B808*W$771,2)</f>
        <v>0</v>
      </c>
      <c r="X808" s="42">
        <f>ROUND($B808*X$771,2)</f>
        <v>0</v>
      </c>
      <c r="Y808" s="42">
        <f>ROUND($B808*Y$771,2)</f>
        <v>0</v>
      </c>
      <c r="Z808" s="42">
        <f>ROUND($B808*Z$771,2)</f>
        <v>0</v>
      </c>
      <c r="AA808" s="42">
        <f>ROUND($B808*AA$771,2)</f>
        <v>0</v>
      </c>
      <c r="AB808" s="19" t="e">
        <f>SUM(#REF!)</f>
        <v>#REF!</v>
      </c>
      <c r="AC808" s="94" t="str">
        <f>+F808</f>
        <v>HL19</v>
      </c>
    </row>
    <row r="809" spans="1:238" x14ac:dyDescent="0.2">
      <c r="A809" s="9"/>
      <c r="B809" s="103">
        <v>-1</v>
      </c>
      <c r="D809" s="8"/>
      <c r="E809" s="9"/>
      <c r="F809" s="36"/>
      <c r="G809" s="17"/>
      <c r="H809" s="19"/>
      <c r="I809" s="12"/>
      <c r="J809" s="12"/>
      <c r="K809" s="12"/>
      <c r="L809" s="12"/>
      <c r="M809" s="12"/>
      <c r="N809" s="12"/>
      <c r="O809" s="12"/>
      <c r="P809" s="12"/>
      <c r="Q809" s="12"/>
      <c r="R809" s="38" t="e">
        <f>VLOOKUP((D810),'Pwr Factor'!$A$1:$B$52,2)</f>
        <v>#N/A</v>
      </c>
      <c r="S809" s="50">
        <v>0.25</v>
      </c>
      <c r="T809" s="12"/>
      <c r="U809" s="12"/>
      <c r="V809" s="12"/>
      <c r="W809" s="12"/>
      <c r="X809" s="12"/>
      <c r="Y809" s="12"/>
      <c r="Z809" s="12"/>
      <c r="AA809" s="12"/>
    </row>
    <row r="810" spans="1:238" x14ac:dyDescent="0.2">
      <c r="A810" s="1" t="s">
        <v>150</v>
      </c>
      <c r="B810" s="103">
        <f>IF(AND('AES Indiana Bill Calc.'!$D$17="HL1",'AES Indiana Bill Calc.'!$D$18="Yes 25%",'AES Indiana Bill Calc.'!$D$20="Yes 2019"),'AES Indiana Bill Calc.'!$D$19,-1)</f>
        <v>-1</v>
      </c>
      <c r="C810" s="103">
        <f>MAX(E810,$C$769)</f>
        <v>2000</v>
      </c>
      <c r="D810" s="103" t="b">
        <f>IF(AND('AES Indiana Bill Calc.'!$D$17="HL1",'AES Indiana Bill Calc.'!$D$18="Yes 25%",'AES Indiana Bill Calc.'!$D$20="Yes 2019"),'AES Indiana Bill Calc.'!$D$22)</f>
        <v>0</v>
      </c>
      <c r="E810" s="103" t="b">
        <f>IF(AND('AES Indiana Bill Calc.'!$D$17="HL1",'AES Indiana Bill Calc.'!$D$18="Yes 25%",'AES Indiana Bill Calc.'!$D$20="Yes 2019"),'AES Indiana Bill Calc.'!$D$21)</f>
        <v>0</v>
      </c>
      <c r="F810" s="36" t="s">
        <v>236</v>
      </c>
      <c r="G810" s="92" t="e">
        <f>SUM(J810:M810,R810:AA810)</f>
        <v>#N/A</v>
      </c>
      <c r="H810" s="19" t="e">
        <f>IF(ISBLANK(B810),0,+#REF!/B810)</f>
        <v>#REF!</v>
      </c>
      <c r="I810" s="19"/>
      <c r="J810" s="88">
        <f>IF(ISBLANK(B810),0,+J$771)</f>
        <v>130</v>
      </c>
      <c r="K810" s="42">
        <f>ROUND($B810*K$771,2)</f>
        <v>-0.04</v>
      </c>
      <c r="L810" s="16">
        <f>IF(ISBLANK($C810),0,IF($C810&lt;$C$772,ROUND($C$772*$L$771,2),IF($C810&gt;L$772,ROUND(L$772*L$771,2),ROUND($C810*L$771,2))))</f>
        <v>55900</v>
      </c>
      <c r="M810" s="17">
        <f>IF($C810&gt;L$772,ROUND(($C810-L$772)*M$771,2),0)</f>
        <v>0</v>
      </c>
      <c r="N810" s="17">
        <f>K810</f>
        <v>-0.04</v>
      </c>
      <c r="O810" s="42"/>
      <c r="P810" s="42"/>
      <c r="Q810" s="17">
        <f>SUM(L810:M810)</f>
        <v>55900</v>
      </c>
      <c r="R810" s="82" t="e">
        <f>ROUND(SUM(K810:M810)*(R809-1),2)</f>
        <v>#N/A</v>
      </c>
      <c r="S810" s="42">
        <f>ROUND($B810*S$771*S809,2)</f>
        <v>0</v>
      </c>
      <c r="T810" s="42">
        <f>ROUND($B810*T$771,2)</f>
        <v>0</v>
      </c>
      <c r="U810" s="42">
        <f>ROUND($B810*U$771,2)</f>
        <v>0</v>
      </c>
      <c r="V810" s="42">
        <f>ROUND($B810*V$765,2)</f>
        <v>0</v>
      </c>
      <c r="W810" s="42">
        <f>ROUND($B810*W$771,2)</f>
        <v>0</v>
      </c>
      <c r="X810" s="42">
        <f>ROUND($B810*X$771,2)</f>
        <v>0</v>
      </c>
      <c r="Y810" s="42">
        <f>ROUND($B810*Y$771,2)</f>
        <v>0</v>
      </c>
      <c r="Z810" s="42">
        <f>ROUND($B810*Z$771,2)</f>
        <v>0</v>
      </c>
      <c r="AA810" s="42">
        <f>ROUND($B810*AA$771,2)</f>
        <v>0</v>
      </c>
      <c r="AB810" s="19" t="e">
        <f>SUM(#REF!)</f>
        <v>#REF!</v>
      </c>
      <c r="AC810" s="94" t="str">
        <f>+F810</f>
        <v>HL19</v>
      </c>
    </row>
    <row r="811" spans="1:238" x14ac:dyDescent="0.2">
      <c r="A811" s="9"/>
      <c r="B811" s="103">
        <v>-1</v>
      </c>
      <c r="D811" s="8"/>
      <c r="E811" s="9"/>
      <c r="F811" s="36"/>
      <c r="G811" s="17"/>
      <c r="H811" s="19"/>
      <c r="I811" s="12"/>
      <c r="J811" s="12"/>
      <c r="K811" s="12"/>
      <c r="L811" s="12"/>
      <c r="M811" s="12"/>
      <c r="N811" s="12"/>
      <c r="O811" s="12"/>
      <c r="P811" s="12"/>
      <c r="Q811" s="12"/>
      <c r="R811" s="38" t="e">
        <f>VLOOKUP((D812),'Pwr Factor'!$A$1:$B$52,2)</f>
        <v>#N/A</v>
      </c>
      <c r="S811" s="50">
        <v>0.1</v>
      </c>
      <c r="T811" s="12"/>
      <c r="U811" s="12"/>
      <c r="V811" s="12"/>
      <c r="W811" s="12"/>
      <c r="X811" s="12"/>
      <c r="Y811" s="12"/>
      <c r="Z811" s="12"/>
      <c r="AA811" s="12"/>
    </row>
    <row r="812" spans="1:238" x14ac:dyDescent="0.2">
      <c r="A812" s="1" t="s">
        <v>164</v>
      </c>
      <c r="B812" s="103">
        <f>IF(AND('AES Indiana Bill Calc.'!$D$17="HL1",'AES Indiana Bill Calc.'!$D$18="Yes 10%",'AES Indiana Bill Calc.'!$D$20="Yes 2019"),'AES Indiana Bill Calc.'!$D$19,-1)</f>
        <v>-1</v>
      </c>
      <c r="C812" s="103">
        <f>MAX(E812,$C$769)</f>
        <v>2000</v>
      </c>
      <c r="D812" s="103" t="b">
        <f>IF(AND('AES Indiana Bill Calc.'!$D$17="HL1",'AES Indiana Bill Calc.'!$D$18="Yes 10%",'AES Indiana Bill Calc.'!$D$20="Yes 2019"),'AES Indiana Bill Calc.'!$D$22)</f>
        <v>0</v>
      </c>
      <c r="E812" s="103" t="b">
        <f>IF(AND('AES Indiana Bill Calc.'!$D$17="HL1",'AES Indiana Bill Calc.'!$D$18="Yes 10%",'AES Indiana Bill Calc.'!$D$20="Yes 2019"),'AES Indiana Bill Calc.'!$D$21)</f>
        <v>0</v>
      </c>
      <c r="F812" s="36" t="s">
        <v>236</v>
      </c>
      <c r="G812" s="92" t="e">
        <f>SUM(J812:M812,R812:AA812)</f>
        <v>#N/A</v>
      </c>
      <c r="H812" s="19" t="e">
        <f>IF(ISBLANK(B812),0,+#REF!/B812)</f>
        <v>#REF!</v>
      </c>
      <c r="I812" s="19"/>
      <c r="J812" s="88">
        <f>IF(ISBLANK(B812),0,+J$771)</f>
        <v>130</v>
      </c>
      <c r="K812" s="42">
        <f>ROUND($B812*K$771,2)</f>
        <v>-0.04</v>
      </c>
      <c r="L812" s="16">
        <f>IF(ISBLANK($C812),0,IF($C812&lt;$C$772,ROUND($C$772*$L$771,2),IF($C812&gt;L$772,ROUND(L$772*L$771,2),ROUND($C812*L$771,2))))</f>
        <v>55900</v>
      </c>
      <c r="M812" s="17">
        <f>IF($C812&gt;L$772,ROUND(($C812-L$772)*M$771,2),0)</f>
        <v>0</v>
      </c>
      <c r="N812" s="17">
        <f>K812</f>
        <v>-0.04</v>
      </c>
      <c r="O812" s="42"/>
      <c r="P812" s="42"/>
      <c r="Q812" s="17">
        <f>SUM(L812:M812)</f>
        <v>55900</v>
      </c>
      <c r="R812" s="82" t="e">
        <f>ROUND(SUM(K812:M812)*(R811-1),2)</f>
        <v>#N/A</v>
      </c>
      <c r="S812" s="42">
        <f>ROUND($B812*S$771*S811,2)</f>
        <v>0</v>
      </c>
      <c r="T812" s="42">
        <f>ROUND($B812*T$771,2)</f>
        <v>0</v>
      </c>
      <c r="U812" s="42">
        <f>ROUND($B812*U$771,2)</f>
        <v>0</v>
      </c>
      <c r="V812" s="42">
        <f>ROUND($B812*V$765,2)</f>
        <v>0</v>
      </c>
      <c r="W812" s="42">
        <f>ROUND($B812*W$771,2)</f>
        <v>0</v>
      </c>
      <c r="X812" s="42">
        <f>ROUND($B812*X$771,2)</f>
        <v>0</v>
      </c>
      <c r="Y812" s="42">
        <f>ROUND($B812*Y$771,2)</f>
        <v>0</v>
      </c>
      <c r="Z812" s="42">
        <f>ROUND($B812*Z$771,2)</f>
        <v>0</v>
      </c>
      <c r="AA812" s="42">
        <f>ROUND($B812*AA$771,2)</f>
        <v>0</v>
      </c>
      <c r="AB812" s="19" t="e">
        <f>SUM(#REF!)</f>
        <v>#REF!</v>
      </c>
      <c r="AC812" s="94" t="str">
        <f>+F812</f>
        <v>HL19</v>
      </c>
    </row>
    <row r="813" spans="1:238" x14ac:dyDescent="0.2">
      <c r="A813" s="9"/>
      <c r="B813" s="103">
        <v>-1</v>
      </c>
      <c r="D813" s="8"/>
      <c r="E813" s="9"/>
      <c r="F813" s="36"/>
      <c r="G813" s="17"/>
      <c r="H813" s="19"/>
      <c r="I813" s="12"/>
      <c r="J813" s="12"/>
      <c r="K813" s="12"/>
      <c r="L813" s="12"/>
      <c r="M813" s="12"/>
      <c r="N813" s="12"/>
      <c r="O813" s="12"/>
      <c r="P813" s="12"/>
      <c r="Q813" s="12"/>
      <c r="R813" s="38" t="e">
        <f>VLOOKUP((D814),'Pwr Factor'!$A$1:$B$52,2)</f>
        <v>#N/A</v>
      </c>
      <c r="S813" s="50">
        <v>0</v>
      </c>
      <c r="T813" s="12"/>
      <c r="U813" s="12"/>
      <c r="V813" s="12"/>
      <c r="W813" s="12"/>
      <c r="X813" s="12"/>
      <c r="Y813" s="12"/>
      <c r="Z813" s="12"/>
      <c r="AA813" s="12"/>
    </row>
    <row r="814" spans="1:238" x14ac:dyDescent="0.2">
      <c r="A814" s="1" t="s">
        <v>147</v>
      </c>
      <c r="B814" s="103">
        <f>IF(AND('AES Indiana Bill Calc.'!$D$17="HL1",'AES Indiana Bill Calc.'!$D$18="No",'AES Indiana Bill Calc.'!$D$20="Yes 2019"),'AES Indiana Bill Calc.'!$D$19,-1)</f>
        <v>-1</v>
      </c>
      <c r="C814" s="103">
        <f>MAX(E814,$C$769)</f>
        <v>2000</v>
      </c>
      <c r="D814" s="103" t="b">
        <f>IF(AND('AES Indiana Bill Calc.'!$D$17="HL1",'AES Indiana Bill Calc.'!$D$18="No",'AES Indiana Bill Calc.'!$D$20="Yes 2019"),'AES Indiana Bill Calc.'!$D$22)</f>
        <v>0</v>
      </c>
      <c r="E814" s="103" t="b">
        <f>IF(AND('AES Indiana Bill Calc.'!$D$17="HL1",'AES Indiana Bill Calc.'!$D$18="No",'AES Indiana Bill Calc.'!$D$20="Yes 2019"),'AES Indiana Bill Calc.'!$D$21)</f>
        <v>0</v>
      </c>
      <c r="F814" s="36" t="s">
        <v>236</v>
      </c>
      <c r="G814" s="92" t="e">
        <f>SUM(J814:M814,R814:AA814)</f>
        <v>#N/A</v>
      </c>
      <c r="H814" s="19" t="e">
        <f>IF(ISBLANK(B814),0,+#REF!/B814)</f>
        <v>#REF!</v>
      </c>
      <c r="I814" s="19"/>
      <c r="J814" s="88">
        <f>IF(ISBLANK(B814),0,+J$771)</f>
        <v>130</v>
      </c>
      <c r="K814" s="42">
        <f>ROUND($B814*K$771,2)</f>
        <v>-0.04</v>
      </c>
      <c r="L814" s="16">
        <f>IF(ISBLANK($C814),0,IF($C814&lt;$C$772,ROUND($C$772*$L$771,2),IF($C814&gt;L$772,ROUND(L$772*L$771,2),ROUND($C814*L$771,2))))</f>
        <v>55900</v>
      </c>
      <c r="M814" s="17">
        <f>IF($C814&gt;L$772,ROUND(($C814-L$772)*M$771,2),0)</f>
        <v>0</v>
      </c>
      <c r="N814" s="17">
        <f>K814</f>
        <v>-0.04</v>
      </c>
      <c r="O814" s="42"/>
      <c r="P814" s="42"/>
      <c r="Q814" s="17">
        <f>SUM(L814:M814)</f>
        <v>55900</v>
      </c>
      <c r="R814" s="82" t="e">
        <f>ROUND(SUM(K814:M814)*(R813-1),2)</f>
        <v>#N/A</v>
      </c>
      <c r="S814" s="42">
        <f>ROUND($B814*S$771*S813,2)</f>
        <v>0</v>
      </c>
      <c r="T814" s="42">
        <f>ROUND($B814*T$771,2)</f>
        <v>0</v>
      </c>
      <c r="U814" s="42">
        <f>ROUND($B814*U$771,2)</f>
        <v>0</v>
      </c>
      <c r="V814" s="42">
        <f>ROUND($B814*V$765,2)</f>
        <v>0</v>
      </c>
      <c r="W814" s="42">
        <f>ROUND($B814*W$771,2)</f>
        <v>0</v>
      </c>
      <c r="X814" s="42">
        <f>ROUND($B814*X$771,2)</f>
        <v>0</v>
      </c>
      <c r="Y814" s="42">
        <f>ROUND($B814*Y$771,2)</f>
        <v>0</v>
      </c>
      <c r="Z814" s="42">
        <f>ROUND($B814*Z$771,2)</f>
        <v>0</v>
      </c>
      <c r="AA814" s="42">
        <f>ROUND($B814*AA$771,2)</f>
        <v>0</v>
      </c>
      <c r="AB814" s="19" t="e">
        <f>SUM(#REF!)</f>
        <v>#REF!</v>
      </c>
      <c r="AC814" s="94" t="str">
        <f>+F814</f>
        <v>HL19</v>
      </c>
    </row>
    <row r="815" spans="1:238" x14ac:dyDescent="0.2">
      <c r="A815" s="53"/>
      <c r="B815" s="97">
        <v>-1</v>
      </c>
      <c r="D815" s="41"/>
      <c r="E815" s="80"/>
      <c r="F815" s="36"/>
      <c r="G815" s="98"/>
      <c r="H815" s="19"/>
      <c r="I815" s="19"/>
      <c r="J815" s="88"/>
      <c r="K815" s="42"/>
      <c r="L815" s="82"/>
      <c r="M815" s="42"/>
      <c r="N815" s="42"/>
      <c r="O815" s="42"/>
      <c r="P815" s="42"/>
      <c r="Q815" s="42"/>
      <c r="R815" s="38" t="e">
        <f>VLOOKUP((D816),'Pwr Factor'!$A$1:$B$52,2)</f>
        <v>#N/A</v>
      </c>
      <c r="S815" s="50">
        <v>1</v>
      </c>
      <c r="T815" s="42"/>
      <c r="U815" s="42"/>
      <c r="V815" s="42"/>
      <c r="W815" s="42"/>
      <c r="X815" s="42"/>
      <c r="Y815" s="42"/>
      <c r="Z815" s="42"/>
      <c r="AA815" s="42"/>
      <c r="AB815" s="19"/>
      <c r="AC815" s="94"/>
    </row>
    <row r="816" spans="1:238" x14ac:dyDescent="0.2">
      <c r="A816" s="1" t="s">
        <v>148</v>
      </c>
      <c r="B816" s="103">
        <f>IF(AND('AES Indiana Bill Calc.'!$D$17="HL1",'AES Indiana Bill Calc.'!$D$18="Yes 100%",'AES Indiana Bill Calc.'!$D$20="Yes 2020"),'AES Indiana Bill Calc.'!$D$19,-1)</f>
        <v>-1</v>
      </c>
      <c r="C816" s="103">
        <f>MAX(E816,$C$769)</f>
        <v>2000</v>
      </c>
      <c r="D816" s="103" t="b">
        <f>IF(AND('AES Indiana Bill Calc.'!$D$17="HL1",'AES Indiana Bill Calc.'!$D$18="Yes 100%",'AES Indiana Bill Calc.'!$D$20="Yes 2020"),'AES Indiana Bill Calc.'!$D$22)</f>
        <v>0</v>
      </c>
      <c r="E816" s="103" t="b">
        <f>IF(AND('AES Indiana Bill Calc.'!$D$17="HL1",'AES Indiana Bill Calc.'!$D$18="Yes 100%",'AES Indiana Bill Calc.'!$D$20="Yes 2020"),'AES Indiana Bill Calc.'!$D$21)</f>
        <v>0</v>
      </c>
      <c r="F816" s="36" t="s">
        <v>237</v>
      </c>
      <c r="G816" s="92" t="e">
        <f>SUM(J816:M816,R816:AA816)</f>
        <v>#N/A</v>
      </c>
      <c r="H816" s="19" t="e">
        <f>IF(ISBLANK(B816),0,+#REF!/B816)</f>
        <v>#REF!</v>
      </c>
      <c r="I816" s="19"/>
      <c r="J816" s="88">
        <f>IF(ISBLANK(B816),0,+J$771)</f>
        <v>130</v>
      </c>
      <c r="K816" s="42">
        <f>ROUND($B816*K$771,2)</f>
        <v>-0.04</v>
      </c>
      <c r="L816" s="16">
        <f>IF(ISBLANK($C816),0,IF($C816&lt;$C$772,ROUND($C$772*$L$771,2),IF($C816&gt;L$772,ROUND(L$772*L$771,2),ROUND($C816*L$771,2))))</f>
        <v>55900</v>
      </c>
      <c r="M816" s="17">
        <f>IF($C816&gt;L$772,ROUND(($C816-L$772)*M$771,2),0)</f>
        <v>0</v>
      </c>
      <c r="N816" s="17">
        <f>K816</f>
        <v>-0.04</v>
      </c>
      <c r="O816" s="42"/>
      <c r="P816" s="42"/>
      <c r="Q816" s="17">
        <f>SUM(L816:M816)</f>
        <v>55900</v>
      </c>
      <c r="R816" s="82" t="e">
        <f>ROUND(SUM(K816:M816)*(R815-1),2)</f>
        <v>#N/A</v>
      </c>
      <c r="S816" s="42">
        <f>ROUND($B816*S$771*S815,2)</f>
        <v>0</v>
      </c>
      <c r="T816" s="42">
        <f>ROUND($B816*T$771,2)</f>
        <v>0</v>
      </c>
      <c r="U816" s="42">
        <f>ROUND($B816*U$771,2)</f>
        <v>0</v>
      </c>
      <c r="V816" s="42">
        <f>ROUND($B816*V$766,2)</f>
        <v>0</v>
      </c>
      <c r="W816" s="42">
        <f>ROUND($B816*W$771,2)</f>
        <v>0</v>
      </c>
      <c r="X816" s="42">
        <f>ROUND($B816*X$771,2)</f>
        <v>0</v>
      </c>
      <c r="Y816" s="42">
        <f>ROUND($B816*Y$771,2)</f>
        <v>0</v>
      </c>
      <c r="Z816" s="42">
        <f>ROUND($B816*Z$771,2)</f>
        <v>0</v>
      </c>
      <c r="AA816" s="42">
        <f>ROUND($B816*AA$771,2)</f>
        <v>0</v>
      </c>
      <c r="AB816" s="19">
        <f>SUM(U795:AA795)</f>
        <v>0</v>
      </c>
      <c r="AC816" s="94" t="str">
        <f>+F816</f>
        <v>HL10</v>
      </c>
    </row>
    <row r="817" spans="1:29" x14ac:dyDescent="0.2">
      <c r="A817" s="9"/>
      <c r="B817" s="97">
        <v>-1</v>
      </c>
      <c r="D817" s="41"/>
      <c r="E817" s="80"/>
      <c r="F817" s="36"/>
      <c r="G817" s="98"/>
      <c r="H817" s="19"/>
      <c r="I817" s="19"/>
      <c r="J817" s="88"/>
      <c r="K817" s="42"/>
      <c r="L817" s="82"/>
      <c r="M817" s="42"/>
      <c r="N817" s="42"/>
      <c r="O817" s="42"/>
      <c r="P817" s="42"/>
      <c r="Q817" s="42"/>
      <c r="R817" s="38" t="e">
        <f>VLOOKUP((D818),'Pwr Factor'!$A$1:$B$52,2)</f>
        <v>#N/A</v>
      </c>
      <c r="S817" s="50">
        <v>0.5</v>
      </c>
      <c r="T817" s="42"/>
      <c r="U817" s="42"/>
      <c r="V817" s="42"/>
      <c r="W817" s="42"/>
      <c r="X817" s="42"/>
      <c r="Y817" s="42"/>
      <c r="Z817" s="42"/>
      <c r="AA817" s="42"/>
      <c r="AB817" s="19"/>
      <c r="AC817" s="94"/>
    </row>
    <row r="818" spans="1:29" x14ac:dyDescent="0.2">
      <c r="A818" s="1" t="s">
        <v>149</v>
      </c>
      <c r="B818" s="103">
        <f>IF(AND('AES Indiana Bill Calc.'!$D$17="HL1",'AES Indiana Bill Calc.'!$D$18="Yes 50%",'AES Indiana Bill Calc.'!$D$20="Yes 2020"),'AES Indiana Bill Calc.'!$D$19,-1)</f>
        <v>-1</v>
      </c>
      <c r="C818" s="103">
        <f>MAX(E818,$C$769)</f>
        <v>2000</v>
      </c>
      <c r="D818" s="103" t="b">
        <f>IF(AND('AES Indiana Bill Calc.'!$D$17="HL1",'AES Indiana Bill Calc.'!$D$18="Yes 50%",'AES Indiana Bill Calc.'!$D$20="Yes 2020"),'AES Indiana Bill Calc.'!$D$22)</f>
        <v>0</v>
      </c>
      <c r="E818" s="103" t="b">
        <f>IF(AND('AES Indiana Bill Calc.'!$D$17="HL1",'AES Indiana Bill Calc.'!$D$18="Yes 50%",'AES Indiana Bill Calc.'!$D$20="Yes 2020"),'AES Indiana Bill Calc.'!$D$21)</f>
        <v>0</v>
      </c>
      <c r="F818" s="36" t="s">
        <v>237</v>
      </c>
      <c r="G818" s="92" t="e">
        <f>SUM(J818:M818,R818:AA818)</f>
        <v>#N/A</v>
      </c>
      <c r="H818" s="19" t="e">
        <f>IF(ISBLANK(B818),0,+#REF!/B818)</f>
        <v>#REF!</v>
      </c>
      <c r="I818" s="19"/>
      <c r="J818" s="88">
        <f>IF(ISBLANK(B818),0,+J$771)</f>
        <v>130</v>
      </c>
      <c r="K818" s="42">
        <f>ROUND($B818*K$771,2)</f>
        <v>-0.04</v>
      </c>
      <c r="L818" s="16">
        <f>IF(ISBLANK($C818),0,IF($C818&lt;$C$772,ROUND($C$772*$L$771,2),IF($C818&gt;L$772,ROUND(L$772*L$771,2),ROUND($C818*L$771,2))))</f>
        <v>55900</v>
      </c>
      <c r="M818" s="17">
        <f>IF($C818&gt;L$772,ROUND(($C818-L$772)*M$771,2),0)</f>
        <v>0</v>
      </c>
      <c r="N818" s="17">
        <f>K818</f>
        <v>-0.04</v>
      </c>
      <c r="O818" s="42"/>
      <c r="P818" s="42"/>
      <c r="Q818" s="17">
        <f>SUM(L818:M818)</f>
        <v>55900</v>
      </c>
      <c r="R818" s="82" t="e">
        <f>ROUND(SUM(K818:M818)*(R817-1),2)</f>
        <v>#N/A</v>
      </c>
      <c r="S818" s="42">
        <f>ROUND($B818*S$771*S817,2)</f>
        <v>0</v>
      </c>
      <c r="T818" s="42">
        <f>ROUND($B818*T$771,2)</f>
        <v>0</v>
      </c>
      <c r="U818" s="42">
        <f>ROUND($B818*U$771,2)</f>
        <v>0</v>
      </c>
      <c r="V818" s="42">
        <f>ROUND($B818*V$766,2)</f>
        <v>0</v>
      </c>
      <c r="W818" s="42">
        <f>ROUND($B818*W$771,2)</f>
        <v>0</v>
      </c>
      <c r="X818" s="42">
        <f>ROUND($B818*X$771,2)</f>
        <v>0</v>
      </c>
      <c r="Y818" s="42">
        <f>ROUND($B818*Y$771,2)</f>
        <v>0</v>
      </c>
      <c r="Z818" s="42">
        <f>ROUND($B818*Z$771,2)</f>
        <v>0</v>
      </c>
      <c r="AA818" s="42">
        <f>ROUND($B818*AA$771,2)</f>
        <v>0</v>
      </c>
      <c r="AB818" s="19">
        <f>SUM(U797:AA797)</f>
        <v>0</v>
      </c>
      <c r="AC818" s="94" t="str">
        <f>+F818</f>
        <v>HL10</v>
      </c>
    </row>
    <row r="819" spans="1:29" x14ac:dyDescent="0.2">
      <c r="A819" s="9"/>
      <c r="B819" s="97">
        <v>-1</v>
      </c>
      <c r="D819" s="41"/>
      <c r="E819" s="80"/>
      <c r="F819" s="36"/>
      <c r="G819" s="98"/>
      <c r="H819" s="19"/>
      <c r="I819" s="19"/>
      <c r="J819" s="88"/>
      <c r="K819" s="42"/>
      <c r="L819" s="82"/>
      <c r="M819" s="42"/>
      <c r="N819" s="42"/>
      <c r="O819" s="42"/>
      <c r="P819" s="42"/>
      <c r="Q819" s="42"/>
      <c r="R819" s="38" t="e">
        <f>VLOOKUP((D820),'Pwr Factor'!$A$1:$B$52,2)</f>
        <v>#N/A</v>
      </c>
      <c r="S819" s="50">
        <v>0.25</v>
      </c>
      <c r="T819" s="42"/>
      <c r="U819" s="42"/>
      <c r="V819" s="42"/>
      <c r="W819" s="42"/>
      <c r="X819" s="42"/>
      <c r="Y819" s="42"/>
      <c r="Z819" s="42"/>
      <c r="AA819" s="42"/>
      <c r="AB819" s="19"/>
      <c r="AC819" s="94"/>
    </row>
    <row r="820" spans="1:29" x14ac:dyDescent="0.2">
      <c r="A820" s="1" t="s">
        <v>150</v>
      </c>
      <c r="B820" s="103">
        <f>IF(AND('AES Indiana Bill Calc.'!$D$17="HL1",'AES Indiana Bill Calc.'!$D$18="Yes 25%",'AES Indiana Bill Calc.'!$D$20="Yes 2020"),'AES Indiana Bill Calc.'!$D$19,-1)</f>
        <v>-1</v>
      </c>
      <c r="C820" s="103">
        <f>MAX(E820,$C$769)</f>
        <v>2000</v>
      </c>
      <c r="D820" s="103" t="b">
        <f>IF(AND('AES Indiana Bill Calc.'!$D$17="HL1",'AES Indiana Bill Calc.'!$D$18="Yes 25%",'AES Indiana Bill Calc.'!$D$20="Yes 2020"),'AES Indiana Bill Calc.'!$D$22)</f>
        <v>0</v>
      </c>
      <c r="E820" s="103" t="b">
        <f>IF(AND('AES Indiana Bill Calc.'!$D$17="HL1",'AES Indiana Bill Calc.'!$D$18="Yes 25%",'AES Indiana Bill Calc.'!$D$20="Yes 2020"),'AES Indiana Bill Calc.'!$D$21)</f>
        <v>0</v>
      </c>
      <c r="F820" s="36" t="s">
        <v>237</v>
      </c>
      <c r="G820" s="92" t="e">
        <f>SUM(J820:M820,R820:AA820)</f>
        <v>#N/A</v>
      </c>
      <c r="H820" s="19" t="e">
        <f>IF(ISBLANK(B820),0,+#REF!/B820)</f>
        <v>#REF!</v>
      </c>
      <c r="I820" s="19"/>
      <c r="J820" s="88">
        <f>IF(ISBLANK(B820),0,+J$771)</f>
        <v>130</v>
      </c>
      <c r="K820" s="42">
        <f>ROUND($B820*K$771,2)</f>
        <v>-0.04</v>
      </c>
      <c r="L820" s="16">
        <f>IF(ISBLANK($C820),0,IF($C820&lt;$C$772,ROUND($C$772*$L$771,2),IF($C820&gt;L$772,ROUND(L$772*L$771,2),ROUND($C820*L$771,2))))</f>
        <v>55900</v>
      </c>
      <c r="M820" s="17">
        <f>IF($C820&gt;L$772,ROUND(($C820-L$772)*M$771,2),0)</f>
        <v>0</v>
      </c>
      <c r="N820" s="17">
        <f>K820</f>
        <v>-0.04</v>
      </c>
      <c r="O820" s="42"/>
      <c r="P820" s="42"/>
      <c r="Q820" s="17">
        <f>SUM(L820:M820)</f>
        <v>55900</v>
      </c>
      <c r="R820" s="82" t="e">
        <f>ROUND(SUM(K820:M820)*(R819-1),2)</f>
        <v>#N/A</v>
      </c>
      <c r="S820" s="42">
        <f>ROUND($B820*S$771*S819,2)</f>
        <v>0</v>
      </c>
      <c r="T820" s="42">
        <f>ROUND($B820*T$771,2)</f>
        <v>0</v>
      </c>
      <c r="U820" s="42">
        <f>ROUND($B820*U$771,2)</f>
        <v>0</v>
      </c>
      <c r="V820" s="42">
        <f>ROUND($B820*V$766,2)</f>
        <v>0</v>
      </c>
      <c r="W820" s="42">
        <f>ROUND($B820*W$771,2)</f>
        <v>0</v>
      </c>
      <c r="X820" s="42">
        <f>ROUND($B820*X$771,2)</f>
        <v>0</v>
      </c>
      <c r="Y820" s="42">
        <f>ROUND($B820*Y$771,2)</f>
        <v>0</v>
      </c>
      <c r="Z820" s="42">
        <f>ROUND($B820*Z$771,2)</f>
        <v>0</v>
      </c>
      <c r="AA820" s="42">
        <f>ROUND($B820*AA$771,2)</f>
        <v>0</v>
      </c>
      <c r="AB820" s="19">
        <f>SUM(U799:AA799)</f>
        <v>0</v>
      </c>
      <c r="AC820" s="94" t="str">
        <f>+F820</f>
        <v>HL10</v>
      </c>
    </row>
    <row r="821" spans="1:29" x14ac:dyDescent="0.2">
      <c r="A821" s="9"/>
      <c r="B821" s="97">
        <v>-1</v>
      </c>
      <c r="D821" s="41"/>
      <c r="E821" s="80"/>
      <c r="F821" s="36"/>
      <c r="G821" s="98"/>
      <c r="H821" s="19"/>
      <c r="I821" s="19"/>
      <c r="J821" s="88"/>
      <c r="K821" s="42"/>
      <c r="L821" s="82"/>
      <c r="M821" s="42"/>
      <c r="N821" s="42"/>
      <c r="O821" s="42"/>
      <c r="P821" s="42"/>
      <c r="Q821" s="42"/>
      <c r="R821" s="38" t="e">
        <f>VLOOKUP((D822),'Pwr Factor'!$A$1:$B$52,2)</f>
        <v>#N/A</v>
      </c>
      <c r="S821" s="50">
        <v>0.1</v>
      </c>
      <c r="T821" s="42"/>
      <c r="U821" s="42"/>
      <c r="V821" s="42"/>
      <c r="W821" s="42"/>
      <c r="X821" s="42"/>
      <c r="Y821" s="42"/>
      <c r="Z821" s="42"/>
      <c r="AA821" s="42"/>
      <c r="AB821" s="19"/>
      <c r="AC821" s="94"/>
    </row>
    <row r="822" spans="1:29" x14ac:dyDescent="0.2">
      <c r="A822" s="1" t="s">
        <v>164</v>
      </c>
      <c r="B822" s="103">
        <f>IF(AND('AES Indiana Bill Calc.'!$D$17="HL1",'AES Indiana Bill Calc.'!$D$18="Yes 10%",'AES Indiana Bill Calc.'!$D$20="Yes 2020"),'AES Indiana Bill Calc.'!$D$19,-1)</f>
        <v>-1</v>
      </c>
      <c r="C822" s="103">
        <f>MAX(E822,$C$769)</f>
        <v>2000</v>
      </c>
      <c r="D822" s="103" t="b">
        <f>IF(AND('AES Indiana Bill Calc.'!$D$17="HL1",'AES Indiana Bill Calc.'!$D$18="Yes 10%",'AES Indiana Bill Calc.'!$D$20="Yes 2020"),'AES Indiana Bill Calc.'!$D$22)</f>
        <v>0</v>
      </c>
      <c r="E822" s="103" t="b">
        <f>IF(AND('AES Indiana Bill Calc.'!$D$17="HL1",'AES Indiana Bill Calc.'!$D$18="Yes 10%",'AES Indiana Bill Calc.'!$D$20="Yes 2020"),'AES Indiana Bill Calc.'!$D$21)</f>
        <v>0</v>
      </c>
      <c r="F822" s="36" t="s">
        <v>237</v>
      </c>
      <c r="G822" s="92" t="e">
        <f>SUM(J822:M822,R822:AA822)</f>
        <v>#N/A</v>
      </c>
      <c r="H822" s="19" t="e">
        <f>IF(ISBLANK(B822),0,+#REF!/B822)</f>
        <v>#REF!</v>
      </c>
      <c r="I822" s="19"/>
      <c r="J822" s="88">
        <f>IF(ISBLANK(B822),0,+J$771)</f>
        <v>130</v>
      </c>
      <c r="K822" s="42">
        <f>ROUND($B822*K$771,2)</f>
        <v>-0.04</v>
      </c>
      <c r="L822" s="16">
        <f>IF(ISBLANK($C822),0,IF($C822&lt;$C$772,ROUND($C$772*$L$771,2),IF($C822&gt;L$772,ROUND(L$772*L$771,2),ROUND($C822*L$771,2))))</f>
        <v>55900</v>
      </c>
      <c r="M822" s="17">
        <f>IF($C822&gt;L$772,ROUND(($C822-L$772)*M$771,2),0)</f>
        <v>0</v>
      </c>
      <c r="N822" s="17">
        <f>K822</f>
        <v>-0.04</v>
      </c>
      <c r="O822" s="42"/>
      <c r="P822" s="42"/>
      <c r="Q822" s="17">
        <f>SUM(L822:M822)</f>
        <v>55900</v>
      </c>
      <c r="R822" s="82" t="e">
        <f>ROUND(SUM(K822:M822)*(R821-1),2)</f>
        <v>#N/A</v>
      </c>
      <c r="S822" s="42">
        <f>ROUND($B822*S$771*S821,2)</f>
        <v>0</v>
      </c>
      <c r="T822" s="42">
        <f>ROUND($B822*T$771,2)</f>
        <v>0</v>
      </c>
      <c r="U822" s="42">
        <f>ROUND($B822*U$771,2)</f>
        <v>0</v>
      </c>
      <c r="V822" s="42">
        <f>ROUND($B822*V$766,2)</f>
        <v>0</v>
      </c>
      <c r="W822" s="42">
        <f>ROUND($B822*W$771,2)</f>
        <v>0</v>
      </c>
      <c r="X822" s="42">
        <f>ROUND($B822*X$771,2)</f>
        <v>0</v>
      </c>
      <c r="Y822" s="42">
        <f>ROUND($B822*Y$771,2)</f>
        <v>0</v>
      </c>
      <c r="Z822" s="42">
        <f>ROUND($B822*Z$771,2)</f>
        <v>0</v>
      </c>
      <c r="AA822" s="42">
        <f>ROUND($B822*AA$771,2)</f>
        <v>0</v>
      </c>
      <c r="AB822" s="19">
        <f>SUM(U801:AA801)</f>
        <v>0</v>
      </c>
      <c r="AC822" s="94" t="str">
        <f>+F822</f>
        <v>HL10</v>
      </c>
    </row>
    <row r="823" spans="1:29" x14ac:dyDescent="0.2">
      <c r="A823" s="9"/>
      <c r="B823" s="97">
        <v>-1</v>
      </c>
      <c r="D823" s="41"/>
      <c r="E823" s="80"/>
      <c r="F823" s="36"/>
      <c r="G823" s="98"/>
      <c r="H823" s="19"/>
      <c r="I823" s="19"/>
      <c r="J823" s="88"/>
      <c r="K823" s="42"/>
      <c r="L823" s="82"/>
      <c r="M823" s="42"/>
      <c r="N823" s="42"/>
      <c r="O823" s="42"/>
      <c r="P823" s="42"/>
      <c r="Q823" s="42"/>
      <c r="R823" s="38" t="e">
        <f>VLOOKUP((D824),'Pwr Factor'!$A$1:$B$52,2)</f>
        <v>#N/A</v>
      </c>
      <c r="S823" s="50">
        <v>0</v>
      </c>
      <c r="T823" s="42"/>
      <c r="U823" s="42"/>
      <c r="V823" s="42"/>
      <c r="W823" s="42"/>
      <c r="X823" s="42"/>
      <c r="Y823" s="42"/>
      <c r="Z823" s="42"/>
      <c r="AA823" s="42"/>
      <c r="AB823" s="19"/>
      <c r="AC823" s="94"/>
    </row>
    <row r="824" spans="1:29" x14ac:dyDescent="0.2">
      <c r="A824" s="1" t="s">
        <v>147</v>
      </c>
      <c r="B824" s="103">
        <f>IF(AND('AES Indiana Bill Calc.'!$D$17="HL1",'AES Indiana Bill Calc.'!$D$18="No",'AES Indiana Bill Calc.'!$D$20="Yes 2020"),'AES Indiana Bill Calc.'!$D$19,-1)</f>
        <v>-1</v>
      </c>
      <c r="C824" s="103">
        <f>MAX(E824,$C$769)</f>
        <v>2000</v>
      </c>
      <c r="D824" s="103" t="b">
        <f>IF(AND('AES Indiana Bill Calc.'!$D$17="HL1",'AES Indiana Bill Calc.'!$D$18="No",'AES Indiana Bill Calc.'!$D$20="Yes 2020"),'AES Indiana Bill Calc.'!$D$22)</f>
        <v>0</v>
      </c>
      <c r="E824" s="103" t="b">
        <f>IF(AND('AES Indiana Bill Calc.'!$D$17="HL1",'AES Indiana Bill Calc.'!$D$18="No",'AES Indiana Bill Calc.'!$D$20="Yes 2020"),'AES Indiana Bill Calc.'!$D$21)</f>
        <v>0</v>
      </c>
      <c r="F824" s="36" t="s">
        <v>237</v>
      </c>
      <c r="G824" s="92" t="e">
        <f>SUM(J824:M824,R824:AA824)</f>
        <v>#N/A</v>
      </c>
      <c r="H824" s="19" t="e">
        <f>IF(ISBLANK(B824),0,+#REF!/B824)</f>
        <v>#REF!</v>
      </c>
      <c r="I824" s="19"/>
      <c r="J824" s="88">
        <f>IF(ISBLANK(B824),0,+J$771)</f>
        <v>130</v>
      </c>
      <c r="K824" s="42">
        <f>ROUND($B824*K$771,2)</f>
        <v>-0.04</v>
      </c>
      <c r="L824" s="16">
        <f>IF(ISBLANK($C824),0,IF($C824&lt;$C$772,ROUND($C$772*$L$771,2),IF($C824&gt;L$772,ROUND(L$772*L$771,2),ROUND($C824*L$771,2))))</f>
        <v>55900</v>
      </c>
      <c r="M824" s="17">
        <f>IF($C824&gt;L$772,ROUND(($C824-L$772)*M$771,2),0)</f>
        <v>0</v>
      </c>
      <c r="N824" s="17">
        <f>K824</f>
        <v>-0.04</v>
      </c>
      <c r="O824" s="42"/>
      <c r="P824" s="42"/>
      <c r="Q824" s="17">
        <f>SUM(L824:M824)</f>
        <v>55900</v>
      </c>
      <c r="R824" s="82" t="e">
        <f>ROUND(SUM(K824:M824)*(R823-1),2)</f>
        <v>#N/A</v>
      </c>
      <c r="S824" s="42">
        <f>ROUND($B824*S$771*S823,2)</f>
        <v>0</v>
      </c>
      <c r="T824" s="42">
        <f>ROUND($B824*T$771,2)</f>
        <v>0</v>
      </c>
      <c r="U824" s="42">
        <f>ROUND($B824*U$771,2)</f>
        <v>0</v>
      </c>
      <c r="V824" s="42">
        <f>ROUND($B824*V$766,2)</f>
        <v>0</v>
      </c>
      <c r="W824" s="42">
        <f>ROUND($B824*W$771,2)</f>
        <v>0</v>
      </c>
      <c r="X824" s="42">
        <f>ROUND($B824*X$771,2)</f>
        <v>0</v>
      </c>
      <c r="Y824" s="42">
        <f>ROUND($B824*Y$771,2)</f>
        <v>0</v>
      </c>
      <c r="Z824" s="42">
        <f>ROUND($B824*Z$771,2)</f>
        <v>0</v>
      </c>
      <c r="AA824" s="42">
        <f>ROUND($B824*AA$771,2)</f>
        <v>0</v>
      </c>
      <c r="AB824" s="19">
        <f>SUM(U803:AA803)</f>
        <v>0</v>
      </c>
      <c r="AC824" s="94" t="str">
        <f>+F824</f>
        <v>HL10</v>
      </c>
    </row>
    <row r="825" spans="1:29" x14ac:dyDescent="0.2">
      <c r="A825" s="53"/>
      <c r="B825" s="97">
        <v>-1</v>
      </c>
      <c r="D825" s="41"/>
      <c r="E825" s="80"/>
      <c r="F825" s="36"/>
      <c r="G825" s="98"/>
      <c r="H825" s="19"/>
      <c r="I825" s="19"/>
      <c r="J825" s="88"/>
      <c r="K825" s="42"/>
      <c r="L825" s="82"/>
      <c r="M825" s="42"/>
      <c r="N825" s="42"/>
      <c r="O825" s="42"/>
      <c r="P825" s="42"/>
      <c r="Q825" s="42"/>
      <c r="R825" s="38" t="e">
        <f>VLOOKUP((D826),'Pwr Factor'!$A$1:$B$52,2)</f>
        <v>#N/A</v>
      </c>
      <c r="S825" s="50">
        <v>1</v>
      </c>
      <c r="T825" s="42"/>
      <c r="U825" s="42"/>
      <c r="V825" s="42"/>
      <c r="W825" s="42"/>
      <c r="X825" s="42"/>
      <c r="Y825" s="42"/>
      <c r="Z825" s="42"/>
      <c r="AA825" s="42"/>
      <c r="AB825" s="19"/>
      <c r="AC825" s="94"/>
    </row>
    <row r="826" spans="1:29" x14ac:dyDescent="0.2">
      <c r="A826" s="1" t="s">
        <v>148</v>
      </c>
      <c r="B826" s="103">
        <f>IF(AND('AES Indiana Bill Calc.'!$D$17="HL1",'AES Indiana Bill Calc.'!$D$18="Yes 100%",'AES Indiana Bill Calc.'!$D$20="Yes 2021"),'AES Indiana Bill Calc.'!$D$19,-1)</f>
        <v>-1</v>
      </c>
      <c r="C826" s="103">
        <f>MAX(E826,$C$769)</f>
        <v>2000</v>
      </c>
      <c r="D826" s="103" t="b">
        <f>IF(AND('AES Indiana Bill Calc.'!$D$17="HL1",'AES Indiana Bill Calc.'!$D$18="Yes 100%",'AES Indiana Bill Calc.'!$D$20="Yes 2021"),'AES Indiana Bill Calc.'!$D$22)</f>
        <v>0</v>
      </c>
      <c r="E826" s="103" t="b">
        <f>IF(AND('AES Indiana Bill Calc.'!$D$17="HL1",'AES Indiana Bill Calc.'!$D$18="Yes 100%",'AES Indiana Bill Calc.'!$D$20="Yes 2021"),'AES Indiana Bill Calc.'!$D$21)</f>
        <v>0</v>
      </c>
      <c r="F826" s="36" t="s">
        <v>238</v>
      </c>
      <c r="G826" s="92" t="e">
        <f>SUM(J826:M826,R826:AA826)</f>
        <v>#N/A</v>
      </c>
      <c r="H826" s="19" t="e">
        <f>IF(ISBLANK(B826),0,+#REF!/B826)</f>
        <v>#REF!</v>
      </c>
      <c r="I826" s="19"/>
      <c r="J826" s="88">
        <f>IF(ISBLANK(B826),0,+J$771)</f>
        <v>130</v>
      </c>
      <c r="K826" s="42">
        <f>ROUND($B826*K$771,2)</f>
        <v>-0.04</v>
      </c>
      <c r="L826" s="16">
        <f>IF(ISBLANK($C826),0,IF($C826&lt;$C$772,ROUND($C$772*$L$771,2),IF($C826&gt;L$772,ROUND(L$772*L$771,2),ROUND($C826*L$771,2))))</f>
        <v>55900</v>
      </c>
      <c r="M826" s="17">
        <f>IF($C826&gt;L$772,ROUND(($C826-L$772)*M$771,2),0)</f>
        <v>0</v>
      </c>
      <c r="N826" s="17">
        <f>K826</f>
        <v>-0.04</v>
      </c>
      <c r="O826" s="42"/>
      <c r="P826" s="42"/>
      <c r="Q826" s="17">
        <f>SUM(L826:M826)</f>
        <v>55900</v>
      </c>
      <c r="R826" s="82" t="e">
        <f>ROUND(SUM(K826:M826)*(R825-1),2)</f>
        <v>#N/A</v>
      </c>
      <c r="S826" s="42">
        <f>ROUND($B826*S$771*S825,2)</f>
        <v>0</v>
      </c>
      <c r="T826" s="42">
        <f>ROUND($B826*T$771,2)</f>
        <v>0</v>
      </c>
      <c r="U826" s="42">
        <f>ROUND($B826*U$771,2)</f>
        <v>0</v>
      </c>
      <c r="V826" s="42">
        <f>ROUND($B826*V$767,2)</f>
        <v>0</v>
      </c>
      <c r="W826" s="42">
        <f>ROUND($B826*W$771,2)</f>
        <v>0</v>
      </c>
      <c r="X826" s="42">
        <f>ROUND($B826*X$771,2)</f>
        <v>0</v>
      </c>
      <c r="Y826" s="42">
        <f>ROUND($B826*Y$771,2)</f>
        <v>0</v>
      </c>
      <c r="Z826" s="42">
        <f>ROUND($B826*Z$771,2)</f>
        <v>0</v>
      </c>
      <c r="AA826" s="42">
        <f>ROUND($B826*AA$771,2)</f>
        <v>0</v>
      </c>
      <c r="AB826" s="19">
        <f>SUM(U805:AA805)</f>
        <v>0</v>
      </c>
      <c r="AC826" s="94" t="str">
        <f>+F826</f>
        <v>HL11</v>
      </c>
    </row>
    <row r="827" spans="1:29" x14ac:dyDescent="0.2">
      <c r="A827" s="9"/>
      <c r="B827" s="97">
        <v>-1</v>
      </c>
      <c r="D827" s="41"/>
      <c r="E827" s="80"/>
      <c r="F827" s="36"/>
      <c r="G827" s="98"/>
      <c r="H827" s="19"/>
      <c r="I827" s="19"/>
      <c r="J827" s="88"/>
      <c r="K827" s="42"/>
      <c r="L827" s="82"/>
      <c r="M827" s="42"/>
      <c r="N827" s="42"/>
      <c r="O827" s="42"/>
      <c r="P827" s="42"/>
      <c r="Q827" s="42"/>
      <c r="R827" s="38" t="e">
        <f>VLOOKUP((D828),'Pwr Factor'!$A$1:$B$52,2)</f>
        <v>#N/A</v>
      </c>
      <c r="S827" s="50">
        <v>0.5</v>
      </c>
      <c r="T827" s="42"/>
      <c r="U827" s="42"/>
      <c r="V827" s="42"/>
      <c r="W827" s="42"/>
      <c r="X827" s="42"/>
      <c r="Y827" s="42"/>
      <c r="Z827" s="42"/>
      <c r="AA827" s="42"/>
      <c r="AB827" s="19"/>
      <c r="AC827" s="94"/>
    </row>
    <row r="828" spans="1:29" x14ac:dyDescent="0.2">
      <c r="A828" s="1" t="s">
        <v>149</v>
      </c>
      <c r="B828" s="103">
        <f>IF(AND('AES Indiana Bill Calc.'!$D$17="HL1",'AES Indiana Bill Calc.'!$D$18="Yes 50%",'AES Indiana Bill Calc.'!$D$20="Yes 2021"),'AES Indiana Bill Calc.'!$D$19,-1)</f>
        <v>-1</v>
      </c>
      <c r="C828" s="103">
        <f>MAX(E828,$C$769)</f>
        <v>2000</v>
      </c>
      <c r="D828" s="103" t="b">
        <f>IF(AND('AES Indiana Bill Calc.'!$D$17="HL1",'AES Indiana Bill Calc.'!$D$18="Yes 50%",'AES Indiana Bill Calc.'!$D$20="Yes 2021"),'AES Indiana Bill Calc.'!$D$22)</f>
        <v>0</v>
      </c>
      <c r="E828" s="103" t="b">
        <f>IF(AND('AES Indiana Bill Calc.'!$D$17="HL1",'AES Indiana Bill Calc.'!$D$18="Yes 50%",'AES Indiana Bill Calc.'!$D$20="Yes 2021"),'AES Indiana Bill Calc.'!$D$21)</f>
        <v>0</v>
      </c>
      <c r="F828" s="36" t="s">
        <v>238</v>
      </c>
      <c r="G828" s="92" t="e">
        <f>SUM(J828:M828,R828:AA828)</f>
        <v>#N/A</v>
      </c>
      <c r="H828" s="19" t="e">
        <f>IF(ISBLANK(B828),0,+#REF!/B828)</f>
        <v>#REF!</v>
      </c>
      <c r="I828" s="19"/>
      <c r="J828" s="88">
        <f>IF(ISBLANK(B828),0,+J$771)</f>
        <v>130</v>
      </c>
      <c r="K828" s="42">
        <f>ROUND($B828*K$771,2)</f>
        <v>-0.04</v>
      </c>
      <c r="L828" s="16">
        <f>IF(ISBLANK($C828),0,IF($C828&lt;$C$772,ROUND($C$772*$L$771,2),IF($C828&gt;L$772,ROUND(L$772*L$771,2),ROUND($C828*L$771,2))))</f>
        <v>55900</v>
      </c>
      <c r="M828" s="17">
        <f>IF($C828&gt;L$772,ROUND(($C828-L$772)*M$771,2),0)</f>
        <v>0</v>
      </c>
      <c r="N828" s="17">
        <f>K828</f>
        <v>-0.04</v>
      </c>
      <c r="O828" s="42"/>
      <c r="P828" s="42"/>
      <c r="Q828" s="17">
        <f>SUM(L828:M828)</f>
        <v>55900</v>
      </c>
      <c r="R828" s="82" t="e">
        <f>ROUND(SUM(K828:M828)*(R827-1),2)</f>
        <v>#N/A</v>
      </c>
      <c r="S828" s="42">
        <f>ROUND($B828*S$771*S827,2)</f>
        <v>0</v>
      </c>
      <c r="T828" s="42">
        <f>ROUND($B828*T$771,2)</f>
        <v>0</v>
      </c>
      <c r="U828" s="42">
        <f>ROUND($B828*U$771,2)</f>
        <v>0</v>
      </c>
      <c r="V828" s="42">
        <f>ROUND($B828*V$767,2)</f>
        <v>0</v>
      </c>
      <c r="W828" s="42">
        <f>ROUND($B828*W$771,2)</f>
        <v>0</v>
      </c>
      <c r="X828" s="42">
        <f>ROUND($B828*X$771,2)</f>
        <v>0</v>
      </c>
      <c r="Y828" s="42">
        <f>ROUND($B828*Y$771,2)</f>
        <v>0</v>
      </c>
      <c r="Z828" s="42">
        <f>ROUND($B828*Z$771,2)</f>
        <v>0</v>
      </c>
      <c r="AA828" s="42">
        <f>ROUND($B828*AA$771,2)</f>
        <v>0</v>
      </c>
      <c r="AB828" s="19">
        <f>SUM(U807:AA807)</f>
        <v>0</v>
      </c>
      <c r="AC828" s="94" t="str">
        <f>+F828</f>
        <v>HL11</v>
      </c>
    </row>
    <row r="829" spans="1:29" x14ac:dyDescent="0.2">
      <c r="A829" s="9"/>
      <c r="B829" s="97">
        <v>-1</v>
      </c>
      <c r="D829" s="41"/>
      <c r="E829" s="80"/>
      <c r="F829" s="36"/>
      <c r="G829" s="98"/>
      <c r="H829" s="19"/>
      <c r="I829" s="19"/>
      <c r="J829" s="88"/>
      <c r="K829" s="42"/>
      <c r="L829" s="82"/>
      <c r="M829" s="42"/>
      <c r="N829" s="42"/>
      <c r="O829" s="42"/>
      <c r="P829" s="42"/>
      <c r="Q829" s="42"/>
      <c r="R829" s="38" t="e">
        <f>VLOOKUP((D830),'Pwr Factor'!$A$1:$B$52,2)</f>
        <v>#N/A</v>
      </c>
      <c r="S829" s="50">
        <v>0.25</v>
      </c>
      <c r="T829" s="42"/>
      <c r="U829" s="42"/>
      <c r="V829" s="42"/>
      <c r="W829" s="42"/>
      <c r="X829" s="42"/>
      <c r="Y829" s="42"/>
      <c r="Z829" s="42"/>
      <c r="AA829" s="42"/>
      <c r="AB829" s="19"/>
      <c r="AC829" s="94"/>
    </row>
    <row r="830" spans="1:29" x14ac:dyDescent="0.2">
      <c r="A830" s="1" t="s">
        <v>150</v>
      </c>
      <c r="B830" s="103">
        <f>IF(AND('AES Indiana Bill Calc.'!$D$17="HL1",'AES Indiana Bill Calc.'!$D$18="Yes 25%",'AES Indiana Bill Calc.'!$D$20="Yes 2021"),'AES Indiana Bill Calc.'!$D$19,-1)</f>
        <v>-1</v>
      </c>
      <c r="C830" s="103">
        <f>MAX(E830,$C$769)</f>
        <v>2000</v>
      </c>
      <c r="D830" s="103" t="b">
        <f>IF(AND('AES Indiana Bill Calc.'!$D$17="HL1",'AES Indiana Bill Calc.'!$D$18="Yes 25%",'AES Indiana Bill Calc.'!$D$20="Yes 2021"),'AES Indiana Bill Calc.'!$D$22)</f>
        <v>0</v>
      </c>
      <c r="E830" s="103" t="b">
        <f>IF(AND('AES Indiana Bill Calc.'!$D$17="HL1",'AES Indiana Bill Calc.'!$D$18="Yes 25%",'AES Indiana Bill Calc.'!$D$20="Yes 2021"),'AES Indiana Bill Calc.'!$D$21)</f>
        <v>0</v>
      </c>
      <c r="F830" s="36" t="s">
        <v>238</v>
      </c>
      <c r="G830" s="92" t="e">
        <f>SUM(J830:M830,R830:AA830)</f>
        <v>#N/A</v>
      </c>
      <c r="H830" s="19" t="e">
        <f>IF(ISBLANK(B830),0,+#REF!/B830)</f>
        <v>#REF!</v>
      </c>
      <c r="I830" s="19"/>
      <c r="J830" s="88">
        <f>IF(ISBLANK(B830),0,+J$771)</f>
        <v>130</v>
      </c>
      <c r="K830" s="42">
        <f>ROUND($B830*K$771,2)</f>
        <v>-0.04</v>
      </c>
      <c r="L830" s="16">
        <f>IF(ISBLANK($C830),0,IF($C830&lt;$C$772,ROUND($C$772*$L$771,2),IF($C830&gt;L$772,ROUND(L$772*L$771,2),ROUND($C830*L$771,2))))</f>
        <v>55900</v>
      </c>
      <c r="M830" s="17">
        <f>IF($C830&gt;L$772,ROUND(($C830-L$772)*M$771,2),0)</f>
        <v>0</v>
      </c>
      <c r="N830" s="17">
        <f>K830</f>
        <v>-0.04</v>
      </c>
      <c r="O830" s="42"/>
      <c r="P830" s="42"/>
      <c r="Q830" s="17">
        <f>SUM(L830:M830)</f>
        <v>55900</v>
      </c>
      <c r="R830" s="82" t="e">
        <f>ROUND(SUM(K830:M830)*(R829-1),2)</f>
        <v>#N/A</v>
      </c>
      <c r="S830" s="42">
        <f>ROUND($B830*S$771*S829,2)</f>
        <v>0</v>
      </c>
      <c r="T830" s="42">
        <f>ROUND($B830*T$771,2)</f>
        <v>0</v>
      </c>
      <c r="U830" s="42">
        <f>ROUND($B830*U$771,2)</f>
        <v>0</v>
      </c>
      <c r="V830" s="42">
        <f>ROUND($B830*V$767,2)</f>
        <v>0</v>
      </c>
      <c r="W830" s="42">
        <f>ROUND($B830*W$771,2)</f>
        <v>0</v>
      </c>
      <c r="X830" s="42">
        <f>ROUND($B830*X$771,2)</f>
        <v>0</v>
      </c>
      <c r="Y830" s="42">
        <f>ROUND($B830*Y$771,2)</f>
        <v>0</v>
      </c>
      <c r="Z830" s="42">
        <f>ROUND($B830*Z$771,2)</f>
        <v>0</v>
      </c>
      <c r="AA830" s="42">
        <f>ROUND($B830*AA$771,2)</f>
        <v>0</v>
      </c>
      <c r="AB830" s="19">
        <f>SUM(U809:AA809)</f>
        <v>0</v>
      </c>
      <c r="AC830" s="94" t="str">
        <f>+F830</f>
        <v>HL11</v>
      </c>
    </row>
    <row r="831" spans="1:29" x14ac:dyDescent="0.2">
      <c r="A831" s="9"/>
      <c r="B831" s="97">
        <v>-1</v>
      </c>
      <c r="D831" s="41"/>
      <c r="E831" s="80"/>
      <c r="F831" s="36"/>
      <c r="G831" s="98"/>
      <c r="H831" s="19"/>
      <c r="I831" s="19"/>
      <c r="J831" s="88"/>
      <c r="K831" s="42"/>
      <c r="L831" s="82"/>
      <c r="M831" s="42"/>
      <c r="N831" s="42"/>
      <c r="O831" s="42"/>
      <c r="P831" s="42"/>
      <c r="Q831" s="42"/>
      <c r="R831" s="38" t="e">
        <f>VLOOKUP((D832),'Pwr Factor'!$A$1:$B$52,2)</f>
        <v>#N/A</v>
      </c>
      <c r="S831" s="50">
        <v>0.1</v>
      </c>
      <c r="T831" s="42"/>
      <c r="U831" s="42"/>
      <c r="V831" s="42"/>
      <c r="W831" s="42"/>
      <c r="X831" s="42"/>
      <c r="Y831" s="42"/>
      <c r="Z831" s="42"/>
      <c r="AA831" s="42"/>
      <c r="AB831" s="19"/>
      <c r="AC831" s="94"/>
    </row>
    <row r="832" spans="1:29" x14ac:dyDescent="0.2">
      <c r="A832" s="1" t="s">
        <v>164</v>
      </c>
      <c r="B832" s="103">
        <f>IF(AND('AES Indiana Bill Calc.'!$D$17="HL1",'AES Indiana Bill Calc.'!$D$18="Yes 10%",'AES Indiana Bill Calc.'!$D$20="Yes 2021"),'AES Indiana Bill Calc.'!$D$19,-1)</f>
        <v>-1</v>
      </c>
      <c r="C832" s="103">
        <f>MAX(E832,$C$769)</f>
        <v>2000</v>
      </c>
      <c r="D832" s="103" t="b">
        <f>IF(AND('AES Indiana Bill Calc.'!$D$17="HL1",'AES Indiana Bill Calc.'!$D$18="Yes 10%",'AES Indiana Bill Calc.'!$D$20="Yes 2021"),'AES Indiana Bill Calc.'!$D$22)</f>
        <v>0</v>
      </c>
      <c r="E832" s="103" t="b">
        <f>IF(AND('AES Indiana Bill Calc.'!$D$17="HL1",'AES Indiana Bill Calc.'!$D$18="Yes 10%",'AES Indiana Bill Calc.'!$D$20="Yes 2021"),'AES Indiana Bill Calc.'!$D$21)</f>
        <v>0</v>
      </c>
      <c r="F832" s="36" t="s">
        <v>238</v>
      </c>
      <c r="G832" s="92" t="e">
        <f>SUM(J832:M832,R832:AA832)</f>
        <v>#N/A</v>
      </c>
      <c r="H832" s="19" t="e">
        <f>IF(ISBLANK(B832),0,+#REF!/B832)</f>
        <v>#REF!</v>
      </c>
      <c r="I832" s="19"/>
      <c r="J832" s="88">
        <f>IF(ISBLANK(B832),0,+J$771)</f>
        <v>130</v>
      </c>
      <c r="K832" s="42">
        <f>ROUND($B832*K$771,2)</f>
        <v>-0.04</v>
      </c>
      <c r="L832" s="16">
        <f>IF(ISBLANK($C832),0,IF($C832&lt;$C$772,ROUND($C$772*$L$771,2),IF($C832&gt;L$772,ROUND(L$772*L$771,2),ROUND($C832*L$771,2))))</f>
        <v>55900</v>
      </c>
      <c r="M832" s="17">
        <f>IF($C832&gt;L$772,ROUND(($C832-L$772)*M$771,2),0)</f>
        <v>0</v>
      </c>
      <c r="N832" s="17">
        <f>K832</f>
        <v>-0.04</v>
      </c>
      <c r="O832" s="42"/>
      <c r="P832" s="42"/>
      <c r="Q832" s="17">
        <f>SUM(L832:M832)</f>
        <v>55900</v>
      </c>
      <c r="R832" s="82" t="e">
        <f>ROUND(SUM(K832:M832)*(R831-1),2)</f>
        <v>#N/A</v>
      </c>
      <c r="S832" s="42">
        <f>ROUND($B832*S$771*S831,2)</f>
        <v>0</v>
      </c>
      <c r="T832" s="42">
        <f>ROUND($B832*T$771,2)</f>
        <v>0</v>
      </c>
      <c r="U832" s="42">
        <f>ROUND($B832*U$771,2)</f>
        <v>0</v>
      </c>
      <c r="V832" s="42">
        <f>ROUND($B832*V$767,2)</f>
        <v>0</v>
      </c>
      <c r="W832" s="42">
        <f>ROUND($B832*W$771,2)</f>
        <v>0</v>
      </c>
      <c r="X832" s="42">
        <f>ROUND($B832*X$771,2)</f>
        <v>0</v>
      </c>
      <c r="Y832" s="42">
        <f>ROUND($B832*Y$771,2)</f>
        <v>0</v>
      </c>
      <c r="Z832" s="42">
        <f>ROUND($B832*Z$771,2)</f>
        <v>0</v>
      </c>
      <c r="AA832" s="42">
        <f>ROUND($B832*AA$771,2)</f>
        <v>0</v>
      </c>
      <c r="AB832" s="19">
        <f>SUM(U811:AA811)</f>
        <v>0</v>
      </c>
      <c r="AC832" s="94" t="str">
        <f>+F832</f>
        <v>HL11</v>
      </c>
    </row>
    <row r="833" spans="1:29" x14ac:dyDescent="0.2">
      <c r="A833" s="9"/>
      <c r="B833" s="97">
        <v>-1</v>
      </c>
      <c r="D833" s="41"/>
      <c r="E833" s="80"/>
      <c r="F833" s="36"/>
      <c r="G833" s="98"/>
      <c r="H833" s="19"/>
      <c r="I833" s="19"/>
      <c r="J833" s="88"/>
      <c r="K833" s="42"/>
      <c r="L833" s="82"/>
      <c r="M833" s="42"/>
      <c r="N833" s="42"/>
      <c r="O833" s="42"/>
      <c r="P833" s="42"/>
      <c r="Q833" s="42"/>
      <c r="R833" s="38" t="e">
        <f>VLOOKUP((D834),'Pwr Factor'!$A$1:$B$52,2)</f>
        <v>#N/A</v>
      </c>
      <c r="S833" s="50">
        <v>0</v>
      </c>
      <c r="T833" s="42"/>
      <c r="U833" s="42"/>
      <c r="V833" s="42"/>
      <c r="W833" s="42"/>
      <c r="X833" s="42"/>
      <c r="Y833" s="42"/>
      <c r="Z833" s="42"/>
      <c r="AA833" s="42"/>
      <c r="AB833" s="19"/>
      <c r="AC833" s="94"/>
    </row>
    <row r="834" spans="1:29" x14ac:dyDescent="0.2">
      <c r="A834" s="1" t="s">
        <v>147</v>
      </c>
      <c r="B834" s="103">
        <f>IF(AND('AES Indiana Bill Calc.'!$D$17="HL1",'AES Indiana Bill Calc.'!$D$18="No",'AES Indiana Bill Calc.'!$D$20="Yes 2021"),'AES Indiana Bill Calc.'!$D$19,-1)</f>
        <v>-1</v>
      </c>
      <c r="C834" s="103">
        <f>MAX(E834,$C$769)</f>
        <v>2000</v>
      </c>
      <c r="D834" s="103" t="b">
        <f>IF(AND('AES Indiana Bill Calc.'!$D$17="HL1",'AES Indiana Bill Calc.'!$D$18="No",'AES Indiana Bill Calc.'!$D$20="Yes 2021"),'AES Indiana Bill Calc.'!$D$22)</f>
        <v>0</v>
      </c>
      <c r="E834" s="103" t="b">
        <f>IF(AND('AES Indiana Bill Calc.'!$D$17="HL1",'AES Indiana Bill Calc.'!$D$18="No",'AES Indiana Bill Calc.'!$D$20="Yes 2021"),'AES Indiana Bill Calc.'!$D$21)</f>
        <v>0</v>
      </c>
      <c r="F834" s="36" t="s">
        <v>238</v>
      </c>
      <c r="G834" s="92" t="e">
        <f>SUM(J834:M834,R834:AA834)</f>
        <v>#N/A</v>
      </c>
      <c r="H834" s="19" t="e">
        <f>IF(ISBLANK(B834),0,+#REF!/B834)</f>
        <v>#REF!</v>
      </c>
      <c r="I834" s="19"/>
      <c r="J834" s="88">
        <f>IF(ISBLANK(B834),0,+J$771)</f>
        <v>130</v>
      </c>
      <c r="K834" s="42">
        <f>ROUND($B834*K$771,2)</f>
        <v>-0.04</v>
      </c>
      <c r="L834" s="16">
        <f>IF(ISBLANK($C834),0,IF($C834&lt;$C$772,ROUND($C$772*$L$771,2),IF($C834&gt;L$772,ROUND(L$772*L$771,2),ROUND($C834*L$771,2))))</f>
        <v>55900</v>
      </c>
      <c r="M834" s="17">
        <f>IF($C834&gt;L$772,ROUND(($C834-L$772)*M$771,2),0)</f>
        <v>0</v>
      </c>
      <c r="N834" s="17">
        <f>K834</f>
        <v>-0.04</v>
      </c>
      <c r="O834" s="42"/>
      <c r="P834" s="42"/>
      <c r="Q834" s="17">
        <f>SUM(L834:M834)</f>
        <v>55900</v>
      </c>
      <c r="R834" s="82" t="e">
        <f>ROUND(SUM(K834:M834)*(R833-1),2)</f>
        <v>#N/A</v>
      </c>
      <c r="S834" s="42">
        <f>ROUND($B834*S$771*S833,2)</f>
        <v>0</v>
      </c>
      <c r="T834" s="42">
        <f>ROUND($B834*T$771,2)</f>
        <v>0</v>
      </c>
      <c r="U834" s="42">
        <f>ROUND($B834*U$771,2)</f>
        <v>0</v>
      </c>
      <c r="V834" s="42">
        <f>ROUND($B834*V$767,2)</f>
        <v>0</v>
      </c>
      <c r="W834" s="42">
        <f>ROUND($B834*W$771,2)</f>
        <v>0</v>
      </c>
      <c r="X834" s="42">
        <f>ROUND($B834*X$771,2)</f>
        <v>0</v>
      </c>
      <c r="Y834" s="42">
        <f>ROUND($B834*Y$771,2)</f>
        <v>0</v>
      </c>
      <c r="Z834" s="42">
        <f>ROUND($B834*Z$771,2)</f>
        <v>0</v>
      </c>
      <c r="AA834" s="42">
        <f>ROUND($B834*AA$771,2)</f>
        <v>0</v>
      </c>
      <c r="AB834" s="19">
        <f>SUM(U813:AA813)</f>
        <v>0</v>
      </c>
      <c r="AC834" s="94" t="str">
        <f>+F834</f>
        <v>HL11</v>
      </c>
    </row>
    <row r="835" spans="1:29" x14ac:dyDescent="0.2">
      <c r="A835" s="53"/>
      <c r="B835" s="97">
        <v>-1</v>
      </c>
      <c r="D835" s="41"/>
      <c r="E835" s="80"/>
      <c r="F835" s="36"/>
      <c r="G835" s="98"/>
      <c r="H835" s="19"/>
      <c r="I835" s="19"/>
      <c r="J835" s="88"/>
      <c r="K835" s="42"/>
      <c r="L835" s="82"/>
      <c r="M835" s="42"/>
      <c r="N835" s="42"/>
      <c r="O835" s="42"/>
      <c r="P835" s="42"/>
      <c r="Q835" s="42"/>
      <c r="R835" s="38" t="e">
        <f>VLOOKUP((D836),'Pwr Factor'!$A$1:$B$52,2)</f>
        <v>#N/A</v>
      </c>
      <c r="S835" s="50">
        <v>1</v>
      </c>
      <c r="T835" s="42"/>
      <c r="U835" s="42"/>
      <c r="V835" s="42"/>
      <c r="W835" s="42"/>
      <c r="X835" s="42"/>
      <c r="Y835" s="42"/>
      <c r="Z835" s="42"/>
      <c r="AA835" s="42"/>
      <c r="AB835" s="19"/>
      <c r="AC835" s="94"/>
    </row>
    <row r="836" spans="1:29" x14ac:dyDescent="0.2">
      <c r="A836" s="1" t="s">
        <v>148</v>
      </c>
      <c r="B836" s="103">
        <f>IF(AND('AES Indiana Bill Calc.'!$D$17="HL1",'AES Indiana Bill Calc.'!$D$18="Yes 100%",'AES Indiana Bill Calc.'!$D$20="Yes 2022"),'AES Indiana Bill Calc.'!$D$19,-1)</f>
        <v>-1</v>
      </c>
      <c r="C836" s="103">
        <f>MAX(E836,$C$769)</f>
        <v>2000</v>
      </c>
      <c r="D836" s="103" t="b">
        <f>IF(AND('AES Indiana Bill Calc.'!$D$17="HL1",'AES Indiana Bill Calc.'!$D$18="Yes 100%",'AES Indiana Bill Calc.'!$D$20="Yes 2022"),'AES Indiana Bill Calc.'!$D$22)</f>
        <v>0</v>
      </c>
      <c r="E836" s="103" t="b">
        <f>IF(AND('AES Indiana Bill Calc.'!$D$17="HL1",'AES Indiana Bill Calc.'!$D$18="Yes 100%",'AES Indiana Bill Calc.'!$D$20="Yes 2022"),'AES Indiana Bill Calc.'!$D$21)</f>
        <v>0</v>
      </c>
      <c r="F836" s="36" t="s">
        <v>239</v>
      </c>
      <c r="G836" s="98" t="e">
        <v>#N/A</v>
      </c>
      <c r="H836" s="19" t="e">
        <f>IF(ISBLANK(B836),0,+#REF!/B836)</f>
        <v>#REF!</v>
      </c>
      <c r="I836" s="19"/>
      <c r="J836" s="88">
        <f>IF(ISBLANK(B836),0,+J$771)</f>
        <v>130</v>
      </c>
      <c r="K836" s="42">
        <f>ROUND($B836*K$771,2)</f>
        <v>-0.04</v>
      </c>
      <c r="L836" s="16">
        <f>IF(ISBLANK($C836),0,IF($C836&lt;$C$772,ROUND($C$772*$L$771,2),IF($C836&gt;L$772,ROUND(L$772*L$771,2),ROUND($C836*L$771,2))))</f>
        <v>55900</v>
      </c>
      <c r="M836" s="17">
        <f>IF($C836&gt;L$772,ROUND(($C836-L$772)*M$771,2),0)</f>
        <v>0</v>
      </c>
      <c r="N836" s="17">
        <f>K836</f>
        <v>-0.04</v>
      </c>
      <c r="O836" s="42"/>
      <c r="P836" s="42"/>
      <c r="Q836" s="17">
        <f>SUM(L836:M836)</f>
        <v>55900</v>
      </c>
      <c r="R836" s="82" t="e">
        <f>ROUND(SUM(K836:M836)*(R835-1),2)</f>
        <v>#N/A</v>
      </c>
      <c r="S836" s="42">
        <f>ROUND($B836*S$771*S835,2)</f>
        <v>0</v>
      </c>
      <c r="T836" s="42">
        <f>ROUND($B836*T$771,2)</f>
        <v>0</v>
      </c>
      <c r="U836" s="42">
        <f>ROUND($B836*U$771,2)</f>
        <v>0</v>
      </c>
      <c r="V836" s="42">
        <f>ROUND($B836*V$768,2)</f>
        <v>0</v>
      </c>
      <c r="W836" s="42">
        <f>ROUND($B836*W$771,2)</f>
        <v>0</v>
      </c>
      <c r="X836" s="42">
        <f>ROUND($B836*X$771,2)</f>
        <v>0</v>
      </c>
      <c r="Y836" s="42">
        <f>ROUND($B836*Y$771,2)</f>
        <v>0</v>
      </c>
      <c r="Z836" s="42">
        <f>ROUND($B836*Z$771,2)</f>
        <v>0</v>
      </c>
      <c r="AA836" s="42">
        <f>ROUND($B836*AA$771,2)</f>
        <v>0</v>
      </c>
      <c r="AB836" s="19">
        <f>SUM(U815:AA815)</f>
        <v>0</v>
      </c>
      <c r="AC836" s="94" t="str">
        <f>+F836</f>
        <v>HL12</v>
      </c>
    </row>
    <row r="837" spans="1:29" x14ac:dyDescent="0.2">
      <c r="A837" s="9"/>
      <c r="B837" s="97">
        <v>-1</v>
      </c>
      <c r="D837" s="41"/>
      <c r="E837" s="80"/>
      <c r="F837" s="36"/>
      <c r="G837" s="98"/>
      <c r="H837" s="19"/>
      <c r="I837" s="19"/>
      <c r="J837" s="88"/>
      <c r="K837" s="42"/>
      <c r="L837" s="82"/>
      <c r="M837" s="42"/>
      <c r="N837" s="42"/>
      <c r="O837" s="42"/>
      <c r="P837" s="42"/>
      <c r="Q837" s="42"/>
      <c r="R837" s="38" t="e">
        <f>VLOOKUP((D838),'Pwr Factor'!$A$1:$B$52,2)</f>
        <v>#N/A</v>
      </c>
      <c r="S837" s="50">
        <v>0.5</v>
      </c>
      <c r="T837" s="42"/>
      <c r="U837" s="42"/>
      <c r="V837" s="42"/>
      <c r="W837" s="42"/>
      <c r="X837" s="42"/>
      <c r="Y837" s="42"/>
      <c r="Z837" s="42"/>
      <c r="AA837" s="42"/>
      <c r="AB837" s="19"/>
      <c r="AC837" s="94"/>
    </row>
    <row r="838" spans="1:29" x14ac:dyDescent="0.2">
      <c r="A838" s="1" t="s">
        <v>149</v>
      </c>
      <c r="B838" s="103">
        <f>IF(AND('AES Indiana Bill Calc.'!$D$17="HL1",'AES Indiana Bill Calc.'!$D$18="Yes 50%",'AES Indiana Bill Calc.'!$D$20="Yes 2022"),'AES Indiana Bill Calc.'!$D$19,-1)</f>
        <v>-1</v>
      </c>
      <c r="C838" s="103">
        <f>MAX(E838,$C$769)</f>
        <v>2000</v>
      </c>
      <c r="D838" s="103" t="b">
        <f>IF(AND('AES Indiana Bill Calc.'!$D$17="HL1",'AES Indiana Bill Calc.'!$D$18="Yes 50%",'AES Indiana Bill Calc.'!$D$20="Yes 2022"),'AES Indiana Bill Calc.'!$D$22)</f>
        <v>0</v>
      </c>
      <c r="E838" s="103" t="b">
        <f>IF(AND('AES Indiana Bill Calc.'!$D$17="HL1",'AES Indiana Bill Calc.'!$D$18="Yes 50%",'AES Indiana Bill Calc.'!$D$20="Yes 2022"),'AES Indiana Bill Calc.'!$D$21)</f>
        <v>0</v>
      </c>
      <c r="F838" s="36" t="s">
        <v>239</v>
      </c>
      <c r="G838" s="92" t="e">
        <f>SUM(J838:M838,R838:AA838)</f>
        <v>#N/A</v>
      </c>
      <c r="H838" s="19" t="e">
        <f>IF(ISBLANK(B838),0,+#REF!/B838)</f>
        <v>#REF!</v>
      </c>
      <c r="I838" s="19"/>
      <c r="J838" s="88">
        <f>IF(ISBLANK(B838),0,+J$771)</f>
        <v>130</v>
      </c>
      <c r="K838" s="42">
        <f>ROUND($B838*K$771,2)</f>
        <v>-0.04</v>
      </c>
      <c r="L838" s="16">
        <f>IF(ISBLANK($C838),0,IF($C838&lt;$C$772,ROUND($C$772*$L$771,2),IF($C838&gt;L$772,ROUND(L$772*L$771,2),ROUND($C838*L$771,2))))</f>
        <v>55900</v>
      </c>
      <c r="M838" s="17">
        <f>IF($C838&gt;L$772,ROUND(($C838-L$772)*M$771,2),0)</f>
        <v>0</v>
      </c>
      <c r="N838" s="17">
        <f>K838</f>
        <v>-0.04</v>
      </c>
      <c r="O838" s="42"/>
      <c r="P838" s="42"/>
      <c r="Q838" s="17">
        <f>SUM(L838:M838)</f>
        <v>55900</v>
      </c>
      <c r="R838" s="82" t="e">
        <f>ROUND(SUM(K838:M838)*(R837-1),2)</f>
        <v>#N/A</v>
      </c>
      <c r="S838" s="42">
        <f>ROUND($B838*S$771*S837,2)</f>
        <v>0</v>
      </c>
      <c r="T838" s="42">
        <f>ROUND($B838*T$771,2)</f>
        <v>0</v>
      </c>
      <c r="U838" s="42">
        <f>ROUND($B838*U$771,2)</f>
        <v>0</v>
      </c>
      <c r="V838" s="42">
        <f>ROUND($B838*V$768,2)</f>
        <v>0</v>
      </c>
      <c r="W838" s="42">
        <f>ROUND($B838*W$771,2)</f>
        <v>0</v>
      </c>
      <c r="X838" s="42">
        <f>ROUND($B838*X$771,2)</f>
        <v>0</v>
      </c>
      <c r="Y838" s="42">
        <f>ROUND($B838*Y$771,2)</f>
        <v>0</v>
      </c>
      <c r="Z838" s="42">
        <f>ROUND($B838*Z$771,2)</f>
        <v>0</v>
      </c>
      <c r="AA838" s="42">
        <f>ROUND($B838*AA$771,2)</f>
        <v>0</v>
      </c>
      <c r="AB838" s="19">
        <f>SUM(U817:AA817)</f>
        <v>0</v>
      </c>
      <c r="AC838" s="94" t="str">
        <f>+F838</f>
        <v>HL12</v>
      </c>
    </row>
    <row r="839" spans="1:29" x14ac:dyDescent="0.2">
      <c r="A839" s="9"/>
      <c r="B839" s="97">
        <v>-1</v>
      </c>
      <c r="D839" s="41"/>
      <c r="E839" s="80"/>
      <c r="F839" s="36"/>
      <c r="G839" s="98"/>
      <c r="H839" s="19"/>
      <c r="I839" s="19"/>
      <c r="J839" s="88"/>
      <c r="K839" s="42"/>
      <c r="L839" s="82"/>
      <c r="M839" s="42"/>
      <c r="N839" s="42"/>
      <c r="O839" s="42"/>
      <c r="P839" s="42"/>
      <c r="Q839" s="42"/>
      <c r="R839" s="38" t="e">
        <f>VLOOKUP((D840),'Pwr Factor'!$A$1:$B$52,2)</f>
        <v>#N/A</v>
      </c>
      <c r="S839" s="50">
        <v>0.25</v>
      </c>
      <c r="T839" s="42"/>
      <c r="U839" s="42"/>
      <c r="V839" s="42"/>
      <c r="W839" s="42"/>
      <c r="X839" s="42"/>
      <c r="Y839" s="42"/>
      <c r="Z839" s="42"/>
      <c r="AA839" s="42"/>
      <c r="AB839" s="19"/>
      <c r="AC839" s="94"/>
    </row>
    <row r="840" spans="1:29" x14ac:dyDescent="0.2">
      <c r="A840" s="1" t="s">
        <v>150</v>
      </c>
      <c r="B840" s="103">
        <f>IF(AND('AES Indiana Bill Calc.'!$D$17="HL1",'AES Indiana Bill Calc.'!$D$18="Yes 25%",'AES Indiana Bill Calc.'!$D$20="Yes 2022"),'AES Indiana Bill Calc.'!$D$19,-1)</f>
        <v>-1</v>
      </c>
      <c r="C840" s="103">
        <f>MAX(E840,$C$769)</f>
        <v>2000</v>
      </c>
      <c r="D840" s="103" t="b">
        <f>IF(AND('AES Indiana Bill Calc.'!$D$17="HL1",'AES Indiana Bill Calc.'!$D$18="Yes 25%",'AES Indiana Bill Calc.'!$D$20="Yes 2022"),'AES Indiana Bill Calc.'!$D$22)</f>
        <v>0</v>
      </c>
      <c r="E840" s="103" t="b">
        <f>IF(AND('AES Indiana Bill Calc.'!$D$17="HL1",'AES Indiana Bill Calc.'!$D$18="Yes 25%",'AES Indiana Bill Calc.'!$D$20="Yes 2022"),'AES Indiana Bill Calc.'!$D$21)</f>
        <v>0</v>
      </c>
      <c r="F840" s="36" t="s">
        <v>239</v>
      </c>
      <c r="G840" s="92" t="e">
        <f>SUM(J840:M840,R840:AA840)</f>
        <v>#N/A</v>
      </c>
      <c r="H840" s="19" t="e">
        <f>IF(ISBLANK(B840),0,+#REF!/B840)</f>
        <v>#REF!</v>
      </c>
      <c r="I840" s="19"/>
      <c r="J840" s="88">
        <f>IF(ISBLANK(B840),0,+J$771)</f>
        <v>130</v>
      </c>
      <c r="K840" s="42">
        <f>ROUND($B840*K$771,2)</f>
        <v>-0.04</v>
      </c>
      <c r="L840" s="16">
        <f>IF(ISBLANK($C840),0,IF($C840&lt;$C$772,ROUND($C$772*$L$771,2),IF($C840&gt;L$772,ROUND(L$772*L$771,2),ROUND($C840*L$771,2))))</f>
        <v>55900</v>
      </c>
      <c r="M840" s="17">
        <f>IF($C840&gt;L$772,ROUND(($C840-L$772)*M$771,2),0)</f>
        <v>0</v>
      </c>
      <c r="N840" s="17">
        <f>K840</f>
        <v>-0.04</v>
      </c>
      <c r="O840" s="42"/>
      <c r="P840" s="42"/>
      <c r="Q840" s="17">
        <f>SUM(L840:M840)</f>
        <v>55900</v>
      </c>
      <c r="R840" s="82" t="e">
        <f>ROUND(SUM(K840:M840)*(R839-1),2)</f>
        <v>#N/A</v>
      </c>
      <c r="S840" s="42">
        <f>ROUND($B840*S$771*S839,2)</f>
        <v>0</v>
      </c>
      <c r="T840" s="42">
        <f>ROUND($B840*T$771,2)</f>
        <v>0</v>
      </c>
      <c r="U840" s="42">
        <f>ROUND($B840*U$771,2)</f>
        <v>0</v>
      </c>
      <c r="V840" s="42">
        <f>ROUND($B840*V$768,2)</f>
        <v>0</v>
      </c>
      <c r="W840" s="42">
        <f>ROUND($B840*W$771,2)</f>
        <v>0</v>
      </c>
      <c r="X840" s="42">
        <f>ROUND($B840*X$771,2)</f>
        <v>0</v>
      </c>
      <c r="Y840" s="42">
        <f>ROUND($B840*Y$771,2)</f>
        <v>0</v>
      </c>
      <c r="Z840" s="42">
        <f>ROUND($B840*Z$771,2)</f>
        <v>0</v>
      </c>
      <c r="AA840" s="42">
        <f>ROUND($B840*AA$771,2)</f>
        <v>0</v>
      </c>
      <c r="AB840" s="19">
        <f>SUM(U819:AA819)</f>
        <v>0</v>
      </c>
      <c r="AC840" s="94" t="str">
        <f>+F840</f>
        <v>HL12</v>
      </c>
    </row>
    <row r="841" spans="1:29" x14ac:dyDescent="0.2">
      <c r="A841" s="9"/>
      <c r="B841" s="97">
        <v>-1</v>
      </c>
      <c r="D841" s="41"/>
      <c r="E841" s="80"/>
      <c r="F841" s="36"/>
      <c r="G841" s="98"/>
      <c r="H841" s="19"/>
      <c r="I841" s="19"/>
      <c r="J841" s="88"/>
      <c r="K841" s="42"/>
      <c r="L841" s="82"/>
      <c r="M841" s="42"/>
      <c r="N841" s="42"/>
      <c r="O841" s="42"/>
      <c r="P841" s="42"/>
      <c r="Q841" s="42"/>
      <c r="R841" s="38" t="e">
        <f>VLOOKUP((D842),'Pwr Factor'!$A$1:$B$52,2)</f>
        <v>#N/A</v>
      </c>
      <c r="S841" s="50">
        <v>0.1</v>
      </c>
      <c r="T841" s="42"/>
      <c r="U841" s="42"/>
      <c r="V841" s="42"/>
      <c r="W841" s="42"/>
      <c r="X841" s="42"/>
      <c r="Y841" s="42"/>
      <c r="Z841" s="42"/>
      <c r="AA841" s="42"/>
      <c r="AB841" s="19"/>
      <c r="AC841" s="94"/>
    </row>
    <row r="842" spans="1:29" x14ac:dyDescent="0.2">
      <c r="A842" s="1" t="s">
        <v>164</v>
      </c>
      <c r="B842" s="103">
        <f>IF(AND('AES Indiana Bill Calc.'!$D$17="HL1",'AES Indiana Bill Calc.'!$D$18="Yes 10%",'AES Indiana Bill Calc.'!$D$20="Yes 2022"),'AES Indiana Bill Calc.'!$D$19,-1)</f>
        <v>-1</v>
      </c>
      <c r="C842" s="103">
        <f>MAX(E842,$C$769)</f>
        <v>2000</v>
      </c>
      <c r="D842" s="103" t="b">
        <f>IF(AND('AES Indiana Bill Calc.'!$D$17="HL1",'AES Indiana Bill Calc.'!$D$18="Yes 10%",'AES Indiana Bill Calc.'!$D$20="Yes 2022"),'AES Indiana Bill Calc.'!$D$22)</f>
        <v>0</v>
      </c>
      <c r="E842" s="103" t="b">
        <f>IF(AND('AES Indiana Bill Calc.'!$D$17="HL1",'AES Indiana Bill Calc.'!$D$18="Yes 10%",'AES Indiana Bill Calc.'!$D$20="Yes 2022"),'AES Indiana Bill Calc.'!$D$21)</f>
        <v>0</v>
      </c>
      <c r="F842" s="36" t="s">
        <v>239</v>
      </c>
      <c r="G842" s="92" t="e">
        <f>SUM(J842:M842,R842:AA842)</f>
        <v>#N/A</v>
      </c>
      <c r="H842" s="19" t="e">
        <f>IF(ISBLANK(B842),0,+#REF!/B842)</f>
        <v>#REF!</v>
      </c>
      <c r="I842" s="19"/>
      <c r="J842" s="88">
        <f>IF(ISBLANK(B842),0,+J$771)</f>
        <v>130</v>
      </c>
      <c r="K842" s="42">
        <f>ROUND($B842*K$771,2)</f>
        <v>-0.04</v>
      </c>
      <c r="L842" s="16">
        <f>IF(ISBLANK($C842),0,IF($C842&lt;$C$772,ROUND($C$772*$L$771,2),IF($C842&gt;L$772,ROUND(L$772*L$771,2),ROUND($C842*L$771,2))))</f>
        <v>55900</v>
      </c>
      <c r="M842" s="17">
        <f>IF($C842&gt;L$772,ROUND(($C842-L$772)*M$771,2),0)</f>
        <v>0</v>
      </c>
      <c r="N842" s="17">
        <f>K842</f>
        <v>-0.04</v>
      </c>
      <c r="O842" s="42"/>
      <c r="P842" s="42"/>
      <c r="Q842" s="17">
        <f>SUM(L842:M842)</f>
        <v>55900</v>
      </c>
      <c r="R842" s="82" t="e">
        <f>ROUND(SUM(K842:M842)*(R841-1),2)</f>
        <v>#N/A</v>
      </c>
      <c r="S842" s="42">
        <f>ROUND($B842*S$771*S841,2)</f>
        <v>0</v>
      </c>
      <c r="T842" s="42">
        <f>ROUND($B842*T$771,2)</f>
        <v>0</v>
      </c>
      <c r="U842" s="42">
        <f>ROUND($B842*U$771,2)</f>
        <v>0</v>
      </c>
      <c r="V842" s="42">
        <f>ROUND($B842*V$768,2)</f>
        <v>0</v>
      </c>
      <c r="W842" s="42">
        <f>ROUND($B842*W$771,2)</f>
        <v>0</v>
      </c>
      <c r="X842" s="42">
        <f>ROUND($B842*X$771,2)</f>
        <v>0</v>
      </c>
      <c r="Y842" s="42">
        <f>ROUND($B842*Y$771,2)</f>
        <v>0</v>
      </c>
      <c r="Z842" s="42">
        <f>ROUND($B842*Z$771,2)</f>
        <v>0</v>
      </c>
      <c r="AA842" s="42">
        <f>ROUND($B842*AA$771,2)</f>
        <v>0</v>
      </c>
      <c r="AB842" s="19">
        <f>SUM(U821:AA821)</f>
        <v>0</v>
      </c>
      <c r="AC842" s="94" t="str">
        <f>+F842</f>
        <v>HL12</v>
      </c>
    </row>
    <row r="843" spans="1:29" x14ac:dyDescent="0.2">
      <c r="A843" s="9"/>
      <c r="B843" s="97">
        <v>-1</v>
      </c>
      <c r="D843" s="41"/>
      <c r="E843" s="80"/>
      <c r="F843" s="36"/>
      <c r="G843" s="98"/>
      <c r="H843" s="19"/>
      <c r="I843" s="19"/>
      <c r="J843" s="88"/>
      <c r="K843" s="42"/>
      <c r="L843" s="82"/>
      <c r="M843" s="42"/>
      <c r="N843" s="42"/>
      <c r="O843" s="42"/>
      <c r="P843" s="42"/>
      <c r="Q843" s="42"/>
      <c r="R843" s="38" t="e">
        <f>VLOOKUP((D844),'Pwr Factor'!$A$1:$B$52,2)</f>
        <v>#N/A</v>
      </c>
      <c r="S843" s="50">
        <v>0</v>
      </c>
      <c r="T843" s="42"/>
      <c r="U843" s="42"/>
      <c r="V843" s="42"/>
      <c r="W843" s="42"/>
      <c r="X843" s="42"/>
      <c r="Y843" s="42"/>
      <c r="Z843" s="42"/>
      <c r="AA843" s="42"/>
      <c r="AB843" s="19"/>
      <c r="AC843" s="94"/>
    </row>
    <row r="844" spans="1:29" x14ac:dyDescent="0.2">
      <c r="A844" s="1" t="s">
        <v>147</v>
      </c>
      <c r="B844" s="103">
        <f>IF(AND('AES Indiana Bill Calc.'!$D$17="HL1",'AES Indiana Bill Calc.'!$D$18="No",'AES Indiana Bill Calc.'!$D$20="Yes 2022"),'AES Indiana Bill Calc.'!$D$19,-1)</f>
        <v>-1</v>
      </c>
      <c r="C844" s="103">
        <f>MAX(E844,$C$769)</f>
        <v>2000</v>
      </c>
      <c r="D844" s="103" t="b">
        <f>IF(AND('AES Indiana Bill Calc.'!$D$17="HL1",'AES Indiana Bill Calc.'!$D$18="No",'AES Indiana Bill Calc.'!$D$20="Yes 2022"),'AES Indiana Bill Calc.'!$D$22)</f>
        <v>0</v>
      </c>
      <c r="E844" s="103" t="b">
        <f>IF(AND('AES Indiana Bill Calc.'!$D$17="HL1",'AES Indiana Bill Calc.'!$D$18="No",'AES Indiana Bill Calc.'!$D$20="Yes 2022"),'AES Indiana Bill Calc.'!$D$21)</f>
        <v>0</v>
      </c>
      <c r="F844" s="36" t="s">
        <v>239</v>
      </c>
      <c r="G844" s="92" t="e">
        <f>SUM(J844:M844,R844:AA844)</f>
        <v>#N/A</v>
      </c>
      <c r="H844" s="19" t="e">
        <f>IF(ISBLANK(B844),0,+#REF!/B844)</f>
        <v>#REF!</v>
      </c>
      <c r="I844" s="19"/>
      <c r="J844" s="88">
        <f>IF(ISBLANK(B844),0,+J$771)</f>
        <v>130</v>
      </c>
      <c r="K844" s="42">
        <f>ROUND($B844*K$771,2)</f>
        <v>-0.04</v>
      </c>
      <c r="L844" s="16">
        <f>IF(ISBLANK($C844),0,IF($C844&lt;$C$772,ROUND($C$772*$L$771,2),IF($C844&gt;L$772,ROUND(L$772*L$771,2),ROUND($C844*L$771,2))))</f>
        <v>55900</v>
      </c>
      <c r="M844" s="17">
        <f>IF($C844&gt;L$772,ROUND(($C844-L$772)*M$771,2),0)</f>
        <v>0</v>
      </c>
      <c r="N844" s="17">
        <f>K844</f>
        <v>-0.04</v>
      </c>
      <c r="O844" s="42"/>
      <c r="P844" s="42"/>
      <c r="Q844" s="17">
        <f>SUM(L844:M844)</f>
        <v>55900</v>
      </c>
      <c r="R844" s="82" t="e">
        <f>ROUND(SUM(K844:M844)*(R843-1),2)</f>
        <v>#N/A</v>
      </c>
      <c r="S844" s="42">
        <f>ROUND($B844*S$771*S843,2)</f>
        <v>0</v>
      </c>
      <c r="T844" s="42">
        <f>ROUND($B844*T$771,2)</f>
        <v>0</v>
      </c>
      <c r="U844" s="42">
        <f>ROUND($B844*U$771,2)</f>
        <v>0</v>
      </c>
      <c r="V844" s="42">
        <f>ROUND($B844*V$768,2)</f>
        <v>0</v>
      </c>
      <c r="W844" s="42">
        <f>ROUND($B844*W$771,2)</f>
        <v>0</v>
      </c>
      <c r="X844" s="42">
        <f>ROUND($B844*X$771,2)</f>
        <v>0</v>
      </c>
      <c r="Y844" s="42">
        <f>ROUND($B844*Y$771,2)</f>
        <v>0</v>
      </c>
      <c r="Z844" s="42">
        <f>ROUND($B844*Z$771,2)</f>
        <v>0</v>
      </c>
      <c r="AA844" s="42">
        <f>ROUND($B844*AA$771,2)</f>
        <v>0</v>
      </c>
      <c r="AB844" s="19">
        <f>SUM(U823:AA823)</f>
        <v>0</v>
      </c>
      <c r="AC844" s="94" t="str">
        <f>+F844</f>
        <v>HL12</v>
      </c>
    </row>
    <row r="845" spans="1:29" x14ac:dyDescent="0.2">
      <c r="A845" s="53"/>
      <c r="B845" s="97">
        <v>-1</v>
      </c>
      <c r="D845" s="41"/>
      <c r="E845" s="80"/>
      <c r="F845" s="36"/>
      <c r="G845" s="98"/>
      <c r="H845" s="19"/>
      <c r="I845" s="19"/>
      <c r="J845" s="88"/>
      <c r="K845" s="42"/>
      <c r="L845" s="82"/>
      <c r="M845" s="42"/>
      <c r="N845" s="42"/>
      <c r="O845" s="42"/>
      <c r="P845" s="42"/>
      <c r="Q845" s="42"/>
      <c r="R845" s="38" t="e">
        <f>VLOOKUP((D846),'Pwr Factor'!$A$1:$B$52,2)</f>
        <v>#N/A</v>
      </c>
      <c r="S845" s="50">
        <v>1</v>
      </c>
      <c r="T845" s="42"/>
      <c r="U845" s="42"/>
      <c r="V845" s="42"/>
      <c r="W845" s="42"/>
      <c r="X845" s="42"/>
      <c r="Y845" s="42"/>
      <c r="Z845" s="42"/>
      <c r="AA845" s="42"/>
      <c r="AB845" s="19"/>
      <c r="AC845" s="94"/>
    </row>
    <row r="846" spans="1:29" x14ac:dyDescent="0.2">
      <c r="A846" s="1" t="s">
        <v>148</v>
      </c>
      <c r="B846" s="103">
        <f>IF(AND('AES Indiana Bill Calc.'!$D$17="HL1",'AES Indiana Bill Calc.'!$D$18="Yes 100%",'AES Indiana Bill Calc.'!$D$20="Yes 2023"),'AES Indiana Bill Calc.'!$D$19,-1)</f>
        <v>-1</v>
      </c>
      <c r="C846" s="103">
        <f>MAX(E846,$C$769)</f>
        <v>2000</v>
      </c>
      <c r="D846" s="103" t="b">
        <f>IF(AND('AES Indiana Bill Calc.'!$D$17="HL1",'AES Indiana Bill Calc.'!$D$18="Yes 100%",'AES Indiana Bill Calc.'!$D$20="Yes 2023"),'AES Indiana Bill Calc.'!$D$22)</f>
        <v>0</v>
      </c>
      <c r="E846" s="103" t="b">
        <f>IF(AND('AES Indiana Bill Calc.'!$D$17="HL1",'AES Indiana Bill Calc.'!$D$18="Yes 100%",'AES Indiana Bill Calc.'!$D$20="Yes 2023"),'AES Indiana Bill Calc.'!$D$21)</f>
        <v>0</v>
      </c>
      <c r="F846" s="36" t="s">
        <v>240</v>
      </c>
      <c r="G846" s="98" t="e">
        <v>#N/A</v>
      </c>
      <c r="H846" s="19" t="e">
        <f>IF(ISBLANK(B846),0,+#REF!/B846)</f>
        <v>#REF!</v>
      </c>
      <c r="I846" s="19"/>
      <c r="J846" s="88">
        <f>IF(ISBLANK(B846),0,+J$771)</f>
        <v>130</v>
      </c>
      <c r="K846" s="42">
        <f>ROUND($B846*K$771,2)</f>
        <v>-0.04</v>
      </c>
      <c r="L846" s="16">
        <f>IF(ISBLANK($C846),0,IF($C846&lt;$C$772,ROUND($C$772*$L$771,2),IF($C846&gt;L$772,ROUND(L$772*L$771,2),ROUND($C846*L$771,2))))</f>
        <v>55900</v>
      </c>
      <c r="M846" s="17">
        <f>IF($C846&gt;L$772,ROUND(($C846-L$772)*M$771,2),0)</f>
        <v>0</v>
      </c>
      <c r="N846" s="17">
        <f>K846</f>
        <v>-0.04</v>
      </c>
      <c r="O846" s="42"/>
      <c r="P846" s="42"/>
      <c r="Q846" s="17">
        <f>SUM(L846:M846)</f>
        <v>55900</v>
      </c>
      <c r="R846" s="82" t="e">
        <f>ROUND(SUM(K846:M846)*(R845-1),2)</f>
        <v>#N/A</v>
      </c>
      <c r="S846" s="42">
        <f>ROUND($B846*S$771*S845,2)</f>
        <v>0</v>
      </c>
      <c r="T846" s="42">
        <f>ROUND($B846*T$771,2)</f>
        <v>0</v>
      </c>
      <c r="U846" s="42">
        <f>ROUND($B846*U$771,2)</f>
        <v>0</v>
      </c>
      <c r="V846" s="42">
        <f>ROUND($B846*V$769,2)</f>
        <v>0</v>
      </c>
      <c r="W846" s="42">
        <f>ROUND($B846*W$771,2)</f>
        <v>0</v>
      </c>
      <c r="X846" s="42">
        <f>ROUND($B846*X$771,2)</f>
        <v>0</v>
      </c>
      <c r="Y846" s="42">
        <f>ROUND($B846*Y$771,2)</f>
        <v>0</v>
      </c>
      <c r="Z846" s="42">
        <f>ROUND($B846*Z$771,2)</f>
        <v>0</v>
      </c>
      <c r="AA846" s="42">
        <f>ROUND($B846*AA$771,2)</f>
        <v>0</v>
      </c>
      <c r="AB846" s="19">
        <f>SUM(U825:AA825)</f>
        <v>0</v>
      </c>
      <c r="AC846" s="94" t="str">
        <f>+F846</f>
        <v>HL13</v>
      </c>
    </row>
    <row r="847" spans="1:29" x14ac:dyDescent="0.2">
      <c r="A847" s="9"/>
      <c r="B847" s="97">
        <v>-1</v>
      </c>
      <c r="D847" s="41"/>
      <c r="E847" s="80"/>
      <c r="F847" s="36"/>
      <c r="G847" s="98"/>
      <c r="H847" s="19"/>
      <c r="I847" s="19"/>
      <c r="J847" s="88"/>
      <c r="K847" s="42"/>
      <c r="L847" s="82"/>
      <c r="M847" s="42"/>
      <c r="N847" s="42"/>
      <c r="O847" s="42"/>
      <c r="P847" s="42"/>
      <c r="Q847" s="42"/>
      <c r="R847" s="38" t="e">
        <f>VLOOKUP((D848),'Pwr Factor'!$A$1:$B$52,2)</f>
        <v>#N/A</v>
      </c>
      <c r="S847" s="50">
        <v>0.5</v>
      </c>
      <c r="T847" s="42"/>
      <c r="U847" s="42"/>
      <c r="V847" s="42"/>
      <c r="W847" s="42"/>
      <c r="X847" s="42"/>
      <c r="Y847" s="42"/>
      <c r="Z847" s="42"/>
      <c r="AA847" s="42"/>
      <c r="AB847" s="19"/>
      <c r="AC847" s="94"/>
    </row>
    <row r="848" spans="1:29" x14ac:dyDescent="0.2">
      <c r="A848" s="1" t="s">
        <v>149</v>
      </c>
      <c r="B848" s="103">
        <f>IF(AND('AES Indiana Bill Calc.'!$D$17="HL1",'AES Indiana Bill Calc.'!$D$18="Yes 50%",'AES Indiana Bill Calc.'!$D$20="Yes 2023"),'AES Indiana Bill Calc.'!$D$19,-1)</f>
        <v>-1</v>
      </c>
      <c r="C848" s="103">
        <f>MAX(E848,$C$769)</f>
        <v>2000</v>
      </c>
      <c r="D848" s="103" t="b">
        <f>IF(AND('AES Indiana Bill Calc.'!$D$17="HL1",'AES Indiana Bill Calc.'!$D$18="Yes 50%",'AES Indiana Bill Calc.'!$D$20="Yes 2023"),'AES Indiana Bill Calc.'!$D$22)</f>
        <v>0</v>
      </c>
      <c r="E848" s="103" t="b">
        <f>IF(AND('AES Indiana Bill Calc.'!$D$17="HL1",'AES Indiana Bill Calc.'!$D$18="Yes 50%",'AES Indiana Bill Calc.'!$D$20="Yes 2023"),'AES Indiana Bill Calc.'!$D$21)</f>
        <v>0</v>
      </c>
      <c r="F848" s="36" t="s">
        <v>240</v>
      </c>
      <c r="G848" s="92" t="e">
        <f>SUM(J848:M848,R848:AA848)</f>
        <v>#N/A</v>
      </c>
      <c r="H848" s="19" t="e">
        <f>IF(ISBLANK(B848),0,+#REF!/B848)</f>
        <v>#REF!</v>
      </c>
      <c r="I848" s="19"/>
      <c r="J848" s="88">
        <f>IF(ISBLANK(B848),0,+J$771)</f>
        <v>130</v>
      </c>
      <c r="K848" s="42">
        <f>ROUND($B848*K$771,2)</f>
        <v>-0.04</v>
      </c>
      <c r="L848" s="16">
        <f>IF(ISBLANK($C848),0,IF($C848&lt;$C$772,ROUND($C$772*$L$771,2),IF($C848&gt;L$772,ROUND(L$772*L$771,2),ROUND($C848*L$771,2))))</f>
        <v>55900</v>
      </c>
      <c r="M848" s="17">
        <f>IF($C848&gt;L$772,ROUND(($C848-L$772)*M$771,2),0)</f>
        <v>0</v>
      </c>
      <c r="N848" s="17">
        <f>K848</f>
        <v>-0.04</v>
      </c>
      <c r="O848" s="42"/>
      <c r="P848" s="42"/>
      <c r="Q848" s="17">
        <f>SUM(L848:M848)</f>
        <v>55900</v>
      </c>
      <c r="R848" s="82" t="e">
        <f>ROUND(SUM(K848:M848)*(R847-1),2)</f>
        <v>#N/A</v>
      </c>
      <c r="S848" s="42">
        <f>ROUND($B848*S$771*S847,2)</f>
        <v>0</v>
      </c>
      <c r="T848" s="42">
        <f>ROUND($B848*T$771,2)</f>
        <v>0</v>
      </c>
      <c r="U848" s="42">
        <f>ROUND($B848*U$771,2)</f>
        <v>0</v>
      </c>
      <c r="V848" s="42">
        <f>ROUND($B848*V$769,2)</f>
        <v>0</v>
      </c>
      <c r="W848" s="42">
        <f>ROUND($B848*W$771,2)</f>
        <v>0</v>
      </c>
      <c r="X848" s="42">
        <f>ROUND($B848*X$771,2)</f>
        <v>0</v>
      </c>
      <c r="Y848" s="42">
        <f>ROUND($B848*Y$771,2)</f>
        <v>0</v>
      </c>
      <c r="Z848" s="42">
        <f>ROUND($B848*Z$771,2)</f>
        <v>0</v>
      </c>
      <c r="AA848" s="42">
        <f>ROUND($B848*AA$771,2)</f>
        <v>0</v>
      </c>
      <c r="AB848" s="19">
        <f>SUM(U827:AA827)</f>
        <v>0</v>
      </c>
      <c r="AC848" s="94" t="str">
        <f>+F848</f>
        <v>HL13</v>
      </c>
    </row>
    <row r="849" spans="1:29" x14ac:dyDescent="0.2">
      <c r="A849" s="9"/>
      <c r="B849" s="97">
        <v>-1</v>
      </c>
      <c r="D849" s="41"/>
      <c r="E849" s="80"/>
      <c r="F849" s="36"/>
      <c r="G849" s="98"/>
      <c r="H849" s="19"/>
      <c r="I849" s="19"/>
      <c r="J849" s="88"/>
      <c r="K849" s="42"/>
      <c r="L849" s="82"/>
      <c r="M849" s="42"/>
      <c r="N849" s="42"/>
      <c r="O849" s="42"/>
      <c r="P849" s="42"/>
      <c r="Q849" s="42"/>
      <c r="R849" s="38" t="e">
        <f>VLOOKUP((D850),'Pwr Factor'!$A$1:$B$52,2)</f>
        <v>#N/A</v>
      </c>
      <c r="S849" s="50">
        <v>0.25</v>
      </c>
      <c r="T849" s="42"/>
      <c r="U849" s="42"/>
      <c r="V849" s="42"/>
      <c r="W849" s="42"/>
      <c r="X849" s="42"/>
      <c r="Y849" s="42"/>
      <c r="Z849" s="42"/>
      <c r="AA849" s="42"/>
      <c r="AB849" s="19"/>
      <c r="AC849" s="94"/>
    </row>
    <row r="850" spans="1:29" x14ac:dyDescent="0.2">
      <c r="A850" s="1" t="s">
        <v>150</v>
      </c>
      <c r="B850" s="103">
        <f>IF(AND('AES Indiana Bill Calc.'!$D$17="HL1",'AES Indiana Bill Calc.'!$D$18="Yes 25%",'AES Indiana Bill Calc.'!$D$20="Yes 2023"),'AES Indiana Bill Calc.'!$D$19,-1)</f>
        <v>-1</v>
      </c>
      <c r="C850" s="103">
        <f>MAX(E850,$C$769)</f>
        <v>2000</v>
      </c>
      <c r="D850" s="103" t="b">
        <f>IF(AND('AES Indiana Bill Calc.'!$D$17="HL1",'AES Indiana Bill Calc.'!$D$18="Yes 25%",'AES Indiana Bill Calc.'!$D$20="Yes 2023"),'AES Indiana Bill Calc.'!$D$22)</f>
        <v>0</v>
      </c>
      <c r="E850" s="103" t="b">
        <f>IF(AND('AES Indiana Bill Calc.'!$D$17="HL1",'AES Indiana Bill Calc.'!$D$18="Yes 25%",'AES Indiana Bill Calc.'!$D$20="Yes 2023"),'AES Indiana Bill Calc.'!$D$21)</f>
        <v>0</v>
      </c>
      <c r="F850" s="36" t="s">
        <v>240</v>
      </c>
      <c r="G850" s="92" t="e">
        <f>SUM(J850:M850,R850:AA850)</f>
        <v>#N/A</v>
      </c>
      <c r="H850" s="19" t="e">
        <f>IF(ISBLANK(B850),0,+#REF!/B850)</f>
        <v>#REF!</v>
      </c>
      <c r="I850" s="19"/>
      <c r="J850" s="88">
        <f>IF(ISBLANK(B850),0,+J$771)</f>
        <v>130</v>
      </c>
      <c r="K850" s="42">
        <f>ROUND($B850*K$771,2)</f>
        <v>-0.04</v>
      </c>
      <c r="L850" s="16">
        <f>IF(ISBLANK($C850),0,IF($C850&lt;$C$772,ROUND($C$772*$L$771,2),IF($C850&gt;L$772,ROUND(L$772*L$771,2),ROUND($C850*L$771,2))))</f>
        <v>55900</v>
      </c>
      <c r="M850" s="17">
        <f>IF($C850&gt;L$772,ROUND(($C850-L$772)*M$771,2),0)</f>
        <v>0</v>
      </c>
      <c r="N850" s="17">
        <f>K850</f>
        <v>-0.04</v>
      </c>
      <c r="O850" s="42"/>
      <c r="P850" s="42"/>
      <c r="Q850" s="17">
        <f>SUM(L850:M850)</f>
        <v>55900</v>
      </c>
      <c r="R850" s="82" t="e">
        <f>ROUND(SUM(K850:M850)*(R849-1),2)</f>
        <v>#N/A</v>
      </c>
      <c r="S850" s="42">
        <f>ROUND($B850*S$771*S849,2)</f>
        <v>0</v>
      </c>
      <c r="T850" s="42">
        <f>ROUND($B850*T$771,2)</f>
        <v>0</v>
      </c>
      <c r="U850" s="42">
        <f>ROUND($B850*U$771,2)</f>
        <v>0</v>
      </c>
      <c r="V850" s="42">
        <f>ROUND($B850*V$768,2)</f>
        <v>0</v>
      </c>
      <c r="W850" s="42">
        <f>ROUND($B850*W$771,2)</f>
        <v>0</v>
      </c>
      <c r="X850" s="42">
        <f>ROUND($B850*X$771,2)</f>
        <v>0</v>
      </c>
      <c r="Y850" s="42">
        <f>ROUND($B850*Y$771,2)</f>
        <v>0</v>
      </c>
      <c r="Z850" s="42">
        <f>ROUND($B850*Z$771,2)</f>
        <v>0</v>
      </c>
      <c r="AA850" s="42">
        <f>ROUND($B850*AA$771,2)</f>
        <v>0</v>
      </c>
      <c r="AB850" s="19">
        <f>SUM(U829:AA829)</f>
        <v>0</v>
      </c>
      <c r="AC850" s="94" t="str">
        <f>+F850</f>
        <v>HL13</v>
      </c>
    </row>
    <row r="851" spans="1:29" x14ac:dyDescent="0.2">
      <c r="A851" s="9"/>
      <c r="B851" s="97">
        <v>-1</v>
      </c>
      <c r="D851" s="41"/>
      <c r="E851" s="80"/>
      <c r="F851" s="36"/>
      <c r="G851" s="98"/>
      <c r="H851" s="19"/>
      <c r="I851" s="19"/>
      <c r="J851" s="88"/>
      <c r="K851" s="42"/>
      <c r="L851" s="82"/>
      <c r="M851" s="42"/>
      <c r="N851" s="42"/>
      <c r="O851" s="42"/>
      <c r="P851" s="42"/>
      <c r="Q851" s="42"/>
      <c r="R851" s="38" t="e">
        <f>VLOOKUP((D852),'Pwr Factor'!$A$1:$B$52,2)</f>
        <v>#N/A</v>
      </c>
      <c r="S851" s="50">
        <v>0.1</v>
      </c>
      <c r="T851" s="42"/>
      <c r="U851" s="42"/>
      <c r="V851" s="42"/>
      <c r="W851" s="42"/>
      <c r="X851" s="42"/>
      <c r="Y851" s="42"/>
      <c r="Z851" s="42"/>
      <c r="AA851" s="42"/>
      <c r="AB851" s="19"/>
      <c r="AC851" s="94"/>
    </row>
    <row r="852" spans="1:29" x14ac:dyDescent="0.2">
      <c r="A852" s="1" t="s">
        <v>164</v>
      </c>
      <c r="B852" s="103">
        <f>IF(AND('AES Indiana Bill Calc.'!$D$17="HL1",'AES Indiana Bill Calc.'!$D$18="Yes 10%",'AES Indiana Bill Calc.'!$D$20="Yes 2023"),'AES Indiana Bill Calc.'!$D$19,-1)</f>
        <v>-1</v>
      </c>
      <c r="C852" s="103">
        <f>MAX(E852,$C$769)</f>
        <v>2000</v>
      </c>
      <c r="D852" s="103" t="b">
        <f>IF(AND('AES Indiana Bill Calc.'!$D$17="HL1",'AES Indiana Bill Calc.'!$D$18="Yes 10%",'AES Indiana Bill Calc.'!$D$20="Yes 2023"),'AES Indiana Bill Calc.'!$D$22)</f>
        <v>0</v>
      </c>
      <c r="E852" s="103" t="b">
        <f>IF(AND('AES Indiana Bill Calc.'!$D$17="HL1",'AES Indiana Bill Calc.'!$D$18="Yes 10%",'AES Indiana Bill Calc.'!$D$20="Yes 2023"),'AES Indiana Bill Calc.'!$D$21)</f>
        <v>0</v>
      </c>
      <c r="F852" s="36" t="s">
        <v>240</v>
      </c>
      <c r="G852" s="92" t="e">
        <f>SUM(J852:M852,R852:AA852)</f>
        <v>#N/A</v>
      </c>
      <c r="H852" s="19" t="e">
        <f>IF(ISBLANK(B852),0,+#REF!/B852)</f>
        <v>#REF!</v>
      </c>
      <c r="I852" s="19"/>
      <c r="J852" s="88">
        <f>IF(ISBLANK(B852),0,+J$771)</f>
        <v>130</v>
      </c>
      <c r="K852" s="42">
        <f>ROUND($B852*K$771,2)</f>
        <v>-0.04</v>
      </c>
      <c r="L852" s="16">
        <f>IF(ISBLANK($C852),0,IF($C852&lt;$C$772,ROUND($C$772*$L$771,2),IF($C852&gt;L$772,ROUND(L$772*L$771,2),ROUND($C852*L$771,2))))</f>
        <v>55900</v>
      </c>
      <c r="M852" s="17">
        <f>IF($C852&gt;L$772,ROUND(($C852-L$772)*M$771,2),0)</f>
        <v>0</v>
      </c>
      <c r="N852" s="17">
        <f>K852</f>
        <v>-0.04</v>
      </c>
      <c r="O852" s="42"/>
      <c r="P852" s="42"/>
      <c r="Q852" s="17">
        <f>SUM(L852:M852)</f>
        <v>55900</v>
      </c>
      <c r="R852" s="82" t="e">
        <f>ROUND(SUM(K852:M852)*(R851-1),2)</f>
        <v>#N/A</v>
      </c>
      <c r="S852" s="42">
        <f>ROUND($B852*S$771*S851,2)</f>
        <v>0</v>
      </c>
      <c r="T852" s="42">
        <f>ROUND($B852*T$771,2)</f>
        <v>0</v>
      </c>
      <c r="U852" s="42">
        <f>ROUND($B852*U$771,2)</f>
        <v>0</v>
      </c>
      <c r="V852" s="42">
        <f>ROUND($B852*V$769,2)</f>
        <v>0</v>
      </c>
      <c r="W852" s="42">
        <f>ROUND($B852*W$771,2)</f>
        <v>0</v>
      </c>
      <c r="X852" s="42">
        <f>ROUND($B852*X$771,2)</f>
        <v>0</v>
      </c>
      <c r="Y852" s="42">
        <f>ROUND($B852*Y$771,2)</f>
        <v>0</v>
      </c>
      <c r="Z852" s="42">
        <f>ROUND($B852*Z$771,2)</f>
        <v>0</v>
      </c>
      <c r="AA852" s="42">
        <f>ROUND($B852*AA$771,2)</f>
        <v>0</v>
      </c>
      <c r="AB852" s="19">
        <f>SUM(U831:AA831)</f>
        <v>0</v>
      </c>
      <c r="AC852" s="94" t="str">
        <f>+F852</f>
        <v>HL13</v>
      </c>
    </row>
    <row r="853" spans="1:29" x14ac:dyDescent="0.2">
      <c r="A853" s="9"/>
      <c r="B853" s="97">
        <v>-1</v>
      </c>
      <c r="D853" s="41"/>
      <c r="E853" s="80"/>
      <c r="F853" s="36"/>
      <c r="G853" s="98"/>
      <c r="H853" s="19"/>
      <c r="I853" s="19"/>
      <c r="J853" s="88"/>
      <c r="K853" s="42"/>
      <c r="L853" s="82"/>
      <c r="M853" s="42"/>
      <c r="N853" s="42"/>
      <c r="O853" s="42"/>
      <c r="P853" s="42"/>
      <c r="Q853" s="42"/>
      <c r="R853" s="38" t="e">
        <f>VLOOKUP((D854),'Pwr Factor'!$A$1:$B$52,2)</f>
        <v>#N/A</v>
      </c>
      <c r="S853" s="50">
        <v>0</v>
      </c>
      <c r="T853" s="42"/>
      <c r="U853" s="42"/>
      <c r="V853" s="42"/>
      <c r="W853" s="42"/>
      <c r="X853" s="42"/>
      <c r="Y853" s="42"/>
      <c r="Z853" s="42"/>
      <c r="AA853" s="42"/>
      <c r="AB853" s="19"/>
      <c r="AC853" s="94"/>
    </row>
    <row r="854" spans="1:29" x14ac:dyDescent="0.2">
      <c r="A854" s="1" t="s">
        <v>147</v>
      </c>
      <c r="B854" s="103">
        <f>IF(AND('AES Indiana Bill Calc.'!$D$17="HL1",'AES Indiana Bill Calc.'!$D$18="No",'AES Indiana Bill Calc.'!$D$20="Yes 2023"),'AES Indiana Bill Calc.'!$D$19,-1)</f>
        <v>-1</v>
      </c>
      <c r="C854" s="103">
        <f>MAX(E854,$C$769)</f>
        <v>2000</v>
      </c>
      <c r="D854" s="103" t="b">
        <f>IF(AND('AES Indiana Bill Calc.'!$D$17="HL1",'AES Indiana Bill Calc.'!$D$18="No",'AES Indiana Bill Calc.'!$D$20="Yes 2023"),'AES Indiana Bill Calc.'!$D$22)</f>
        <v>0</v>
      </c>
      <c r="E854" s="103" t="b">
        <f>IF(AND('AES Indiana Bill Calc.'!$D$17="HL1",'AES Indiana Bill Calc.'!$D$18="No",'AES Indiana Bill Calc.'!$D$20="Yes 2023"),'AES Indiana Bill Calc.'!$D$21)</f>
        <v>0</v>
      </c>
      <c r="F854" s="36" t="s">
        <v>240</v>
      </c>
      <c r="G854" s="92" t="e">
        <f>SUM(J854:M854,R854:AA854)</f>
        <v>#N/A</v>
      </c>
      <c r="H854" s="19" t="e">
        <f>IF(ISBLANK(B854),0,+#REF!/B854)</f>
        <v>#REF!</v>
      </c>
      <c r="I854" s="19"/>
      <c r="J854" s="88">
        <f>IF(ISBLANK(B854),0,+J$771)</f>
        <v>130</v>
      </c>
      <c r="K854" s="42">
        <f>ROUND($B854*K$771,2)</f>
        <v>-0.04</v>
      </c>
      <c r="L854" s="16">
        <f>IF(ISBLANK($C854),0,IF($C854&lt;$C$772,ROUND($C$772*$L$771,2),IF($C854&gt;L$772,ROUND(L$772*L$771,2),ROUND($C854*L$771,2))))</f>
        <v>55900</v>
      </c>
      <c r="M854" s="17">
        <f>IF($C854&gt;L$772,ROUND(($C854-L$772)*M$771,2),0)</f>
        <v>0</v>
      </c>
      <c r="N854" s="17">
        <f>K854</f>
        <v>-0.04</v>
      </c>
      <c r="O854" s="42"/>
      <c r="P854" s="42"/>
      <c r="Q854" s="17">
        <f>SUM(L854:M854)</f>
        <v>55900</v>
      </c>
      <c r="R854" s="82" t="e">
        <f>ROUND(SUM(K854:M854)*(R853-1),2)</f>
        <v>#N/A</v>
      </c>
      <c r="S854" s="42">
        <f>ROUND($B854*S$771*S853,2)</f>
        <v>0</v>
      </c>
      <c r="T854" s="42">
        <f>ROUND($B854*T$771,2)</f>
        <v>0</v>
      </c>
      <c r="U854" s="42">
        <f>ROUND($B854*U$771,2)</f>
        <v>0</v>
      </c>
      <c r="V854" s="42">
        <f>ROUND($B854*V$769,2)</f>
        <v>0</v>
      </c>
      <c r="W854" s="42">
        <f>ROUND($B854*W$771,2)</f>
        <v>0</v>
      </c>
      <c r="X854" s="42">
        <f>ROUND($B854*X$771,2)</f>
        <v>0</v>
      </c>
      <c r="Y854" s="42">
        <f>ROUND($B854*Y$771,2)</f>
        <v>0</v>
      </c>
      <c r="Z854" s="42">
        <f>ROUND($B854*Z$771,2)</f>
        <v>0</v>
      </c>
      <c r="AA854" s="42">
        <f>ROUND($B854*AA$771,2)</f>
        <v>0</v>
      </c>
      <c r="AB854" s="19">
        <f>SUM(U833:AA833)</f>
        <v>0</v>
      </c>
      <c r="AC854" s="94" t="str">
        <f>+F854</f>
        <v>HL13</v>
      </c>
    </row>
    <row r="855" spans="1:29" x14ac:dyDescent="0.2">
      <c r="A855" s="53"/>
      <c r="B855" s="97">
        <v>-1</v>
      </c>
      <c r="D855" s="41"/>
      <c r="E855" s="80"/>
      <c r="F855" s="36"/>
      <c r="G855" s="98"/>
      <c r="H855" s="19"/>
      <c r="I855" s="19"/>
      <c r="J855" s="88"/>
      <c r="K855" s="42"/>
      <c r="L855" s="82"/>
      <c r="M855" s="42"/>
      <c r="N855" s="42"/>
      <c r="O855" s="42"/>
      <c r="P855" s="42"/>
      <c r="Q855" s="42"/>
      <c r="R855" s="38" t="e">
        <f>VLOOKUP((D856),'Pwr Factor'!$A$1:$B$52,2)</f>
        <v>#N/A</v>
      </c>
      <c r="S855" s="50">
        <v>1</v>
      </c>
      <c r="T855" s="42"/>
      <c r="U855" s="42"/>
      <c r="V855" s="42"/>
      <c r="W855" s="42"/>
      <c r="X855" s="42"/>
      <c r="Y855" s="42"/>
      <c r="Z855" s="42"/>
      <c r="AA855" s="42"/>
      <c r="AB855" s="19"/>
      <c r="AC855" s="94"/>
    </row>
    <row r="856" spans="1:29" x14ac:dyDescent="0.2">
      <c r="A856" s="1" t="s">
        <v>148</v>
      </c>
      <c r="B856" s="103">
        <f>IF(AND('AES Indiana Bill Calc.'!$D$17="HL1",'AES Indiana Bill Calc.'!$D$18="Yes 100%",'AES Indiana Bill Calc.'!$D$20="Yes 2024"),'AES Indiana Bill Calc.'!$D$19,-1)</f>
        <v>-1</v>
      </c>
      <c r="C856" s="103">
        <f>MAX(E856,$C$769)</f>
        <v>2000</v>
      </c>
      <c r="D856" s="103" t="b">
        <f>IF(AND('AES Indiana Bill Calc.'!$D$17="HL1",'AES Indiana Bill Calc.'!$D$18="Yes 100%",'AES Indiana Bill Calc.'!$D$20="Yes 2024"),'AES Indiana Bill Calc.'!$D$22)</f>
        <v>0</v>
      </c>
      <c r="E856" s="103" t="b">
        <f>IF(AND('AES Indiana Bill Calc.'!$D$17="HL1",'AES Indiana Bill Calc.'!$D$18="Yes 100%",'AES Indiana Bill Calc.'!$D$20="Yes 2024"),'AES Indiana Bill Calc.'!$D$21)</f>
        <v>0</v>
      </c>
      <c r="F856" s="36" t="s">
        <v>310</v>
      </c>
      <c r="G856" s="98" t="e">
        <v>#N/A</v>
      </c>
      <c r="H856" s="19" t="e">
        <f>IF(ISBLANK(B856),0,+#REF!/B856)</f>
        <v>#REF!</v>
      </c>
      <c r="I856" s="19"/>
      <c r="J856" s="88">
        <f>IF(ISBLANK(B856),0,+J$771)</f>
        <v>130</v>
      </c>
      <c r="K856" s="42">
        <f>ROUND($B856*K$771,2)</f>
        <v>-0.04</v>
      </c>
      <c r="L856" s="16">
        <f>IF(ISBLANK($C856),0,IF($C856&lt;$C$772,ROUND($C$772*$L$771,2),IF($C856&gt;L$772,ROUND(L$772*L$771,2),ROUND($C856*L$771,2))))</f>
        <v>55900</v>
      </c>
      <c r="M856" s="17">
        <f>IF($C856&gt;L$772,ROUND(($C856-L$772)*M$771,2),0)</f>
        <v>0</v>
      </c>
      <c r="N856" s="17">
        <f>K856</f>
        <v>-0.04</v>
      </c>
      <c r="O856" s="42"/>
      <c r="P856" s="42"/>
      <c r="Q856" s="17">
        <f>SUM(L856:M856)</f>
        <v>55900</v>
      </c>
      <c r="R856" s="82" t="e">
        <f>ROUND(SUM(K856:M856)*(R855-1),2)</f>
        <v>#N/A</v>
      </c>
      <c r="S856" s="42">
        <f>ROUND($B856*S$771*S855,2)</f>
        <v>0</v>
      </c>
      <c r="T856" s="42">
        <f>ROUND($B856*T$771,2)</f>
        <v>0</v>
      </c>
      <c r="U856" s="42">
        <f>ROUND($B856*U$771,2)</f>
        <v>0</v>
      </c>
      <c r="V856" s="42">
        <f>ROUND($B856*V$770,2)</f>
        <v>0</v>
      </c>
      <c r="W856" s="42">
        <f>ROUND($B856*W$771,2)</f>
        <v>0</v>
      </c>
      <c r="X856" s="42">
        <f>ROUND($B856*X$771,2)</f>
        <v>0</v>
      </c>
      <c r="Y856" s="42">
        <f>ROUND($B856*Y$771,2)</f>
        <v>0</v>
      </c>
      <c r="Z856" s="42">
        <f>ROUND($B856*Z$771,2)</f>
        <v>0</v>
      </c>
      <c r="AA856" s="42">
        <f>ROUND($B856*AA$771,2)</f>
        <v>0</v>
      </c>
      <c r="AB856" s="19">
        <f>SUM(U835:AA835)</f>
        <v>0</v>
      </c>
      <c r="AC856" s="94" t="str">
        <f>+F856</f>
        <v>HL14</v>
      </c>
    </row>
    <row r="857" spans="1:29" x14ac:dyDescent="0.2">
      <c r="A857" s="9"/>
      <c r="B857" s="97">
        <v>-1</v>
      </c>
      <c r="D857" s="41"/>
      <c r="E857" s="80"/>
      <c r="F857" s="36"/>
      <c r="G857" s="98"/>
      <c r="H857" s="19"/>
      <c r="I857" s="19"/>
      <c r="J857" s="88"/>
      <c r="K857" s="42"/>
      <c r="L857" s="82"/>
      <c r="M857" s="42"/>
      <c r="N857" s="42"/>
      <c r="O857" s="42"/>
      <c r="P857" s="42"/>
      <c r="Q857" s="42"/>
      <c r="R857" s="38" t="e">
        <f>VLOOKUP((D858),'Pwr Factor'!$A$1:$B$52,2)</f>
        <v>#N/A</v>
      </c>
      <c r="S857" s="50">
        <v>0.5</v>
      </c>
      <c r="T857" s="42"/>
      <c r="U857" s="42"/>
      <c r="V857" s="42"/>
      <c r="W857" s="42"/>
      <c r="X857" s="42"/>
      <c r="Y857" s="42"/>
      <c r="Z857" s="42"/>
      <c r="AA857" s="42"/>
      <c r="AB857" s="19"/>
      <c r="AC857" s="94"/>
    </row>
    <row r="858" spans="1:29" x14ac:dyDescent="0.2">
      <c r="A858" s="1" t="s">
        <v>149</v>
      </c>
      <c r="B858" s="103">
        <f>IF(AND('AES Indiana Bill Calc.'!$D$17="HL1",'AES Indiana Bill Calc.'!$D$18="Yes 50%",'AES Indiana Bill Calc.'!$D$20="Yes 2024"),'AES Indiana Bill Calc.'!$D$19,-1)</f>
        <v>-1</v>
      </c>
      <c r="C858" s="103">
        <f>MAX(E858,$C$769)</f>
        <v>2000</v>
      </c>
      <c r="D858" s="103" t="b">
        <f>IF(AND('AES Indiana Bill Calc.'!$D$17="HL1",'AES Indiana Bill Calc.'!$D$18="Yes 50%",'AES Indiana Bill Calc.'!$D$20="Yes 2024"),'AES Indiana Bill Calc.'!$D$22)</f>
        <v>0</v>
      </c>
      <c r="E858" s="103" t="b">
        <f>IF(AND('AES Indiana Bill Calc.'!$D$17="HL1",'AES Indiana Bill Calc.'!$D$18="Yes 50%",'AES Indiana Bill Calc.'!$D$20="Yes 2024"),'AES Indiana Bill Calc.'!$D$21)</f>
        <v>0</v>
      </c>
      <c r="F858" s="36" t="s">
        <v>310</v>
      </c>
      <c r="G858" s="92" t="e">
        <f>SUM(J858:M858,R858:AA858)</f>
        <v>#N/A</v>
      </c>
      <c r="H858" s="19" t="e">
        <f>IF(ISBLANK(B858),0,+#REF!/B858)</f>
        <v>#REF!</v>
      </c>
      <c r="I858" s="19"/>
      <c r="J858" s="88">
        <f>IF(ISBLANK(B858),0,+J$771)</f>
        <v>130</v>
      </c>
      <c r="K858" s="42">
        <f>ROUND($B858*K$771,2)</f>
        <v>-0.04</v>
      </c>
      <c r="L858" s="16">
        <f>IF(ISBLANK($C858),0,IF($C858&lt;$C$772,ROUND($C$772*$L$771,2),IF($C858&gt;L$772,ROUND(L$772*L$771,2),ROUND($C858*L$771,2))))</f>
        <v>55900</v>
      </c>
      <c r="M858" s="17">
        <f>IF($C858&gt;L$772,ROUND(($C858-L$772)*M$771,2),0)</f>
        <v>0</v>
      </c>
      <c r="N858" s="17">
        <f>K858</f>
        <v>-0.04</v>
      </c>
      <c r="O858" s="42"/>
      <c r="P858" s="42"/>
      <c r="Q858" s="17">
        <f>SUM(L858:M858)</f>
        <v>55900</v>
      </c>
      <c r="R858" s="82" t="e">
        <f>ROUND(SUM(K858:M858)*(R857-1),2)</f>
        <v>#N/A</v>
      </c>
      <c r="S858" s="42">
        <f>ROUND($B858*S$771*S857,2)</f>
        <v>0</v>
      </c>
      <c r="T858" s="42">
        <f>ROUND($B858*T$771,2)</f>
        <v>0</v>
      </c>
      <c r="U858" s="42">
        <f>ROUND($B858*U$771,2)</f>
        <v>0</v>
      </c>
      <c r="V858" s="42">
        <f>ROUND($B858*V$770,2)</f>
        <v>0</v>
      </c>
      <c r="W858" s="42">
        <f>ROUND($B858*W$771,2)</f>
        <v>0</v>
      </c>
      <c r="X858" s="42">
        <f>ROUND($B858*X$771,2)</f>
        <v>0</v>
      </c>
      <c r="Y858" s="42">
        <f>ROUND($B858*Y$771,2)</f>
        <v>0</v>
      </c>
      <c r="Z858" s="42">
        <f>ROUND($B858*Z$771,2)</f>
        <v>0</v>
      </c>
      <c r="AA858" s="42">
        <f>ROUND($B858*AA$771,2)</f>
        <v>0</v>
      </c>
      <c r="AB858" s="19">
        <f>SUM(U837:AA837)</f>
        <v>0</v>
      </c>
      <c r="AC858" s="94" t="str">
        <f>+F858</f>
        <v>HL14</v>
      </c>
    </row>
    <row r="859" spans="1:29" x14ac:dyDescent="0.2">
      <c r="A859" s="9"/>
      <c r="B859" s="97">
        <v>-1</v>
      </c>
      <c r="D859" s="41"/>
      <c r="E859" s="80"/>
      <c r="F859" s="36"/>
      <c r="G859" s="98"/>
      <c r="H859" s="19"/>
      <c r="I859" s="19"/>
      <c r="J859" s="88"/>
      <c r="K859" s="42"/>
      <c r="L859" s="82"/>
      <c r="M859" s="42"/>
      <c r="N859" s="42"/>
      <c r="O859" s="42"/>
      <c r="P859" s="42"/>
      <c r="Q859" s="42"/>
      <c r="R859" s="38" t="e">
        <f>VLOOKUP((D860),'Pwr Factor'!$A$1:$B$52,2)</f>
        <v>#N/A</v>
      </c>
      <c r="S859" s="50">
        <v>0.25</v>
      </c>
      <c r="T859" s="42"/>
      <c r="U859" s="42"/>
      <c r="V859" s="42"/>
      <c r="W859" s="42"/>
      <c r="X859" s="42"/>
      <c r="Y859" s="42"/>
      <c r="Z859" s="42"/>
      <c r="AA859" s="42"/>
      <c r="AB859" s="19"/>
      <c r="AC859" s="94"/>
    </row>
    <row r="860" spans="1:29" x14ac:dyDescent="0.2">
      <c r="A860" s="1" t="s">
        <v>150</v>
      </c>
      <c r="B860" s="103">
        <f>IF(AND('AES Indiana Bill Calc.'!$D$17="HL1",'AES Indiana Bill Calc.'!$D$18="Yes 25%",'AES Indiana Bill Calc.'!$D$20="Yes 2024"),'AES Indiana Bill Calc.'!$D$19,-1)</f>
        <v>-1</v>
      </c>
      <c r="C860" s="103">
        <f>MAX(E860,$C$769)</f>
        <v>2000</v>
      </c>
      <c r="D860" s="103" t="b">
        <f>IF(AND('AES Indiana Bill Calc.'!$D$17="HL1",'AES Indiana Bill Calc.'!$D$18="Yes 25%",'AES Indiana Bill Calc.'!$D$20="Yes 2024"),'AES Indiana Bill Calc.'!$D$22)</f>
        <v>0</v>
      </c>
      <c r="E860" s="103" t="b">
        <f>IF(AND('AES Indiana Bill Calc.'!$D$17="HL1",'AES Indiana Bill Calc.'!$D$18="Yes 25%",'AES Indiana Bill Calc.'!$D$20="Yes 2024"),'AES Indiana Bill Calc.'!$D$21)</f>
        <v>0</v>
      </c>
      <c r="F860" s="36" t="s">
        <v>310</v>
      </c>
      <c r="G860" s="92" t="e">
        <f>SUM(J860:M860,R860:AA860)</f>
        <v>#N/A</v>
      </c>
      <c r="H860" s="19" t="e">
        <f>IF(ISBLANK(B860),0,+#REF!/B860)</f>
        <v>#REF!</v>
      </c>
      <c r="I860" s="19"/>
      <c r="J860" s="88">
        <f>IF(ISBLANK(B860),0,+J$771)</f>
        <v>130</v>
      </c>
      <c r="K860" s="42">
        <f>ROUND($B860*K$771,2)</f>
        <v>-0.04</v>
      </c>
      <c r="L860" s="16">
        <f>IF(ISBLANK($C860),0,IF($C860&lt;$C$772,ROUND($C$772*$L$771,2),IF($C860&gt;L$772,ROUND(L$772*L$771,2),ROUND($C860*L$771,2))))</f>
        <v>55900</v>
      </c>
      <c r="M860" s="17">
        <f>IF($C860&gt;L$772,ROUND(($C860-L$772)*M$771,2),0)</f>
        <v>0</v>
      </c>
      <c r="N860" s="17">
        <f>K860</f>
        <v>-0.04</v>
      </c>
      <c r="O860" s="42"/>
      <c r="P860" s="42"/>
      <c r="Q860" s="17">
        <f>SUM(L860:M860)</f>
        <v>55900</v>
      </c>
      <c r="R860" s="82" t="e">
        <f>ROUND(SUM(K860:M860)*(R859-1),2)</f>
        <v>#N/A</v>
      </c>
      <c r="S860" s="42">
        <f>ROUND($B860*S$771*S859,2)</f>
        <v>0</v>
      </c>
      <c r="T860" s="42">
        <f>ROUND($B860*T$771,2)</f>
        <v>0</v>
      </c>
      <c r="U860" s="42">
        <f>ROUND($B860*U$771,2)</f>
        <v>0</v>
      </c>
      <c r="V860" s="42">
        <f>ROUND($B860*V$770,2)</f>
        <v>0</v>
      </c>
      <c r="W860" s="42">
        <f>ROUND($B860*W$771,2)</f>
        <v>0</v>
      </c>
      <c r="X860" s="42">
        <f>ROUND($B860*X$771,2)</f>
        <v>0</v>
      </c>
      <c r="Y860" s="42">
        <f>ROUND($B860*Y$771,2)</f>
        <v>0</v>
      </c>
      <c r="Z860" s="42">
        <f>ROUND($B860*Z$771,2)</f>
        <v>0</v>
      </c>
      <c r="AA860" s="42">
        <f>ROUND($B860*AA$771,2)</f>
        <v>0</v>
      </c>
      <c r="AB860" s="19">
        <f>SUM(U839:AA839)</f>
        <v>0</v>
      </c>
      <c r="AC860" s="94" t="str">
        <f>+F860</f>
        <v>HL14</v>
      </c>
    </row>
    <row r="861" spans="1:29" x14ac:dyDescent="0.2">
      <c r="A861" s="9"/>
      <c r="B861" s="97">
        <v>-1</v>
      </c>
      <c r="D861" s="41"/>
      <c r="E861" s="80"/>
      <c r="F861" s="36"/>
      <c r="G861" s="98"/>
      <c r="H861" s="19"/>
      <c r="I861" s="19"/>
      <c r="J861" s="88"/>
      <c r="K861" s="42"/>
      <c r="L861" s="82"/>
      <c r="M861" s="42"/>
      <c r="N861" s="42"/>
      <c r="O861" s="42"/>
      <c r="P861" s="42"/>
      <c r="Q861" s="42"/>
      <c r="R861" s="38" t="e">
        <f>VLOOKUP((D862),'Pwr Factor'!$A$1:$B$52,2)</f>
        <v>#N/A</v>
      </c>
      <c r="S861" s="50">
        <v>0.1</v>
      </c>
      <c r="T861" s="42"/>
      <c r="U861" s="42"/>
      <c r="V861" s="42"/>
      <c r="W861" s="42"/>
      <c r="X861" s="42"/>
      <c r="Y861" s="42"/>
      <c r="Z861" s="42"/>
      <c r="AA861" s="42"/>
      <c r="AB861" s="19"/>
      <c r="AC861" s="94"/>
    </row>
    <row r="862" spans="1:29" x14ac:dyDescent="0.2">
      <c r="A862" s="1" t="s">
        <v>164</v>
      </c>
      <c r="B862" s="103">
        <f>IF(AND('AES Indiana Bill Calc.'!$D$17="HL1",'AES Indiana Bill Calc.'!$D$18="Yes 10%",'AES Indiana Bill Calc.'!$D$20="Yes 2024"),'AES Indiana Bill Calc.'!$D$19,-1)</f>
        <v>-1</v>
      </c>
      <c r="C862" s="103">
        <f>MAX(E862,$C$769)</f>
        <v>2000</v>
      </c>
      <c r="D862" s="103" t="b">
        <f>IF(AND('AES Indiana Bill Calc.'!$D$17="HL1",'AES Indiana Bill Calc.'!$D$18="Yes 10%",'AES Indiana Bill Calc.'!$D$20="Yes 2024"),'AES Indiana Bill Calc.'!$D$22)</f>
        <v>0</v>
      </c>
      <c r="E862" s="103" t="b">
        <f>IF(AND('AES Indiana Bill Calc.'!$D$17="HL1",'AES Indiana Bill Calc.'!$D$18="Yes 10%",'AES Indiana Bill Calc.'!$D$20="Yes 2024"),'AES Indiana Bill Calc.'!$D$21)</f>
        <v>0</v>
      </c>
      <c r="F862" s="36" t="s">
        <v>310</v>
      </c>
      <c r="G862" s="92" t="e">
        <f>SUM(J862:M862,R862:AA862)</f>
        <v>#N/A</v>
      </c>
      <c r="H862" s="19" t="e">
        <f>IF(ISBLANK(B862),0,+#REF!/B862)</f>
        <v>#REF!</v>
      </c>
      <c r="I862" s="19"/>
      <c r="J862" s="88">
        <f>IF(ISBLANK(B862),0,+J$771)</f>
        <v>130</v>
      </c>
      <c r="K862" s="42">
        <f>ROUND($B862*K$771,2)</f>
        <v>-0.04</v>
      </c>
      <c r="L862" s="16">
        <f>IF(ISBLANK($C862),0,IF($C862&lt;$C$772,ROUND($C$772*$L$771,2),IF($C862&gt;L$772,ROUND(L$772*L$771,2),ROUND($C862*L$771,2))))</f>
        <v>55900</v>
      </c>
      <c r="M862" s="17">
        <f>IF($C862&gt;L$772,ROUND(($C862-L$772)*M$771,2),0)</f>
        <v>0</v>
      </c>
      <c r="N862" s="17">
        <f>K862</f>
        <v>-0.04</v>
      </c>
      <c r="O862" s="42"/>
      <c r="P862" s="42"/>
      <c r="Q862" s="17">
        <f>SUM(L862:M862)</f>
        <v>55900</v>
      </c>
      <c r="R862" s="82" t="e">
        <f>ROUND(SUM(K862:M862)*(R861-1),2)</f>
        <v>#N/A</v>
      </c>
      <c r="S862" s="42">
        <f>ROUND($B862*S$771*S861,2)</f>
        <v>0</v>
      </c>
      <c r="T862" s="42">
        <f>ROUND($B862*T$771,2)</f>
        <v>0</v>
      </c>
      <c r="U862" s="42">
        <f>ROUND($B862*U$771,2)</f>
        <v>0</v>
      </c>
      <c r="V862" s="42">
        <f>ROUND($B862*V$770,2)</f>
        <v>0</v>
      </c>
      <c r="W862" s="42">
        <f>ROUND($B862*W$771,2)</f>
        <v>0</v>
      </c>
      <c r="X862" s="42">
        <f>ROUND($B862*X$771,2)</f>
        <v>0</v>
      </c>
      <c r="Y862" s="42">
        <f>ROUND($B862*Y$771,2)</f>
        <v>0</v>
      </c>
      <c r="Z862" s="42">
        <f>ROUND($B862*Z$771,2)</f>
        <v>0</v>
      </c>
      <c r="AA862" s="42">
        <f>ROUND($B862*AA$771,2)</f>
        <v>0</v>
      </c>
      <c r="AB862" s="19">
        <f>SUM(U841:AA841)</f>
        <v>0</v>
      </c>
      <c r="AC862" s="94" t="str">
        <f>+F862</f>
        <v>HL14</v>
      </c>
    </row>
    <row r="863" spans="1:29" x14ac:dyDescent="0.2">
      <c r="A863" s="9"/>
      <c r="B863" s="97">
        <v>-1</v>
      </c>
      <c r="D863" s="41"/>
      <c r="E863" s="80"/>
      <c r="F863" s="36"/>
      <c r="G863" s="98"/>
      <c r="H863" s="19"/>
      <c r="I863" s="19"/>
      <c r="J863" s="88"/>
      <c r="K863" s="42"/>
      <c r="L863" s="82"/>
      <c r="M863" s="42"/>
      <c r="N863" s="42"/>
      <c r="O863" s="42"/>
      <c r="P863" s="42"/>
      <c r="Q863" s="42"/>
      <c r="R863" s="38" t="e">
        <f>VLOOKUP((D864),'Pwr Factor'!$A$1:$B$52,2)</f>
        <v>#N/A</v>
      </c>
      <c r="S863" s="50">
        <v>0</v>
      </c>
      <c r="T863" s="42"/>
      <c r="U863" s="42"/>
      <c r="V863" s="42"/>
      <c r="W863" s="42"/>
      <c r="X863" s="42"/>
      <c r="Y863" s="42"/>
      <c r="Z863" s="42"/>
      <c r="AA863" s="42"/>
      <c r="AB863" s="19"/>
      <c r="AC863" s="94"/>
    </row>
    <row r="864" spans="1:29" x14ac:dyDescent="0.2">
      <c r="A864" s="1" t="s">
        <v>147</v>
      </c>
      <c r="B864" s="103">
        <f>IF(AND('AES Indiana Bill Calc.'!$D$17="HL1",'AES Indiana Bill Calc.'!$D$18="No",'AES Indiana Bill Calc.'!$D$20="Yes 2024"),'AES Indiana Bill Calc.'!$D$19,-1)</f>
        <v>-1</v>
      </c>
      <c r="C864" s="103">
        <f>MAX(E864,$C$769)</f>
        <v>2000</v>
      </c>
      <c r="D864" s="103" t="b">
        <f>IF(AND('AES Indiana Bill Calc.'!$D$17="HL1",'AES Indiana Bill Calc.'!$D$18="No",'AES Indiana Bill Calc.'!$D$20="Yes 2024"),'AES Indiana Bill Calc.'!$D$22)</f>
        <v>0</v>
      </c>
      <c r="E864" s="103" t="b">
        <f>IF(AND('AES Indiana Bill Calc.'!$D$17="HL1",'AES Indiana Bill Calc.'!$D$18="No",'AES Indiana Bill Calc.'!$D$20="Yes 2024"),'AES Indiana Bill Calc.'!$D$21)</f>
        <v>0</v>
      </c>
      <c r="F864" s="36" t="s">
        <v>310</v>
      </c>
      <c r="G864" s="92" t="e">
        <f>SUM(J864:M864,R864:AA864)</f>
        <v>#N/A</v>
      </c>
      <c r="H864" s="19" t="e">
        <f>IF(ISBLANK(B864),0,+#REF!/B864)</f>
        <v>#REF!</v>
      </c>
      <c r="I864" s="19"/>
      <c r="J864" s="88">
        <f>IF(ISBLANK(B864),0,+J$771)</f>
        <v>130</v>
      </c>
      <c r="K864" s="42">
        <f>ROUND($B864*K$771,2)</f>
        <v>-0.04</v>
      </c>
      <c r="L864" s="16">
        <f>IF(ISBLANK($C864),0,IF($C864&lt;$C$772,ROUND($C$772*$L$771,2),IF($C864&gt;L$772,ROUND(L$772*L$771,2),ROUND($C864*L$771,2))))</f>
        <v>55900</v>
      </c>
      <c r="M864" s="17">
        <f>IF($C864&gt;L$772,ROUND(($C864-L$772)*M$771,2),0)</f>
        <v>0</v>
      </c>
      <c r="N864" s="17">
        <f>K864</f>
        <v>-0.04</v>
      </c>
      <c r="O864" s="42"/>
      <c r="P864" s="42"/>
      <c r="Q864" s="17">
        <f>SUM(L864:M864)</f>
        <v>55900</v>
      </c>
      <c r="R864" s="82" t="e">
        <f>ROUND(SUM(K864:M864)*(R863-1),2)</f>
        <v>#N/A</v>
      </c>
      <c r="S864" s="42">
        <f>ROUND($B864*S$771*S863,2)</f>
        <v>0</v>
      </c>
      <c r="T864" s="42">
        <f>ROUND($B864*T$771,2)</f>
        <v>0</v>
      </c>
      <c r="U864" s="42">
        <f>ROUND($B864*U$771,2)</f>
        <v>0</v>
      </c>
      <c r="V864" s="42">
        <f>ROUND($B864*V$770,2)</f>
        <v>0</v>
      </c>
      <c r="W864" s="42">
        <f>ROUND($B864*W$771,2)</f>
        <v>0</v>
      </c>
      <c r="X864" s="42">
        <f>ROUND($B864*X$771,2)</f>
        <v>0</v>
      </c>
      <c r="Y864" s="42">
        <f>ROUND($B864*Y$771,2)</f>
        <v>0</v>
      </c>
      <c r="Z864" s="42">
        <f>ROUND($B864*Z$771,2)</f>
        <v>0</v>
      </c>
      <c r="AA864" s="42">
        <f>ROUND($B864*AA$771,2)</f>
        <v>0</v>
      </c>
      <c r="AB864" s="19">
        <f>SUM(U843:AA843)</f>
        <v>0</v>
      </c>
      <c r="AC864" s="94" t="str">
        <f>+F864</f>
        <v>HL14</v>
      </c>
    </row>
    <row r="865" spans="1:29" x14ac:dyDescent="0.2">
      <c r="A865" s="53"/>
      <c r="B865" s="103">
        <v>-1</v>
      </c>
      <c r="C865" s="9"/>
      <c r="D865" s="8"/>
      <c r="F865" s="36"/>
      <c r="G865" s="42"/>
      <c r="H865" s="19"/>
      <c r="J865" s="88"/>
      <c r="K865" s="42"/>
      <c r="L865" s="82"/>
      <c r="M865" s="42"/>
      <c r="N865" s="42"/>
      <c r="O865" s="42"/>
      <c r="P865" s="42"/>
      <c r="Q865" s="42"/>
      <c r="R865" s="82"/>
      <c r="S865" s="42"/>
      <c r="T865" s="42"/>
      <c r="U865" s="42"/>
      <c r="V865" s="41"/>
      <c r="W865" s="42"/>
      <c r="X865" s="42"/>
      <c r="Y865" s="42"/>
      <c r="Z865" s="42"/>
      <c r="AA865" s="42"/>
      <c r="AB865" s="19"/>
      <c r="AC865" s="67"/>
    </row>
    <row r="866" spans="1:29" x14ac:dyDescent="0.2">
      <c r="B866" s="103">
        <v>-1</v>
      </c>
      <c r="C866" s="9"/>
      <c r="D866" s="8"/>
      <c r="R866">
        <v>6571.2</v>
      </c>
      <c r="V866" s="19">
        <f>+T8</f>
        <v>0</v>
      </c>
      <c r="W866" s="6" t="s">
        <v>158</v>
      </c>
      <c r="AB866" s="19">
        <f>+AB$876-V$876+V866</f>
        <v>2.7160000000000005E-3</v>
      </c>
    </row>
    <row r="867" spans="1:29" x14ac:dyDescent="0.2">
      <c r="B867" s="103">
        <v>-1</v>
      </c>
      <c r="C867" s="9"/>
      <c r="D867" s="8"/>
      <c r="L867" t="s">
        <v>193</v>
      </c>
      <c r="M867" t="s">
        <v>193</v>
      </c>
      <c r="S867" s="6"/>
      <c r="T867" s="6"/>
      <c r="U867" s="6"/>
      <c r="V867" s="27">
        <f>+$T$12</f>
        <v>0</v>
      </c>
      <c r="W867" s="6" t="s">
        <v>154</v>
      </c>
      <c r="X867" s="6"/>
      <c r="Y867" s="6"/>
      <c r="Z867" s="6"/>
      <c r="AA867" s="6"/>
      <c r="AB867" s="19" t="e">
        <f>+AB$876-V$876+#REF!</f>
        <v>#REF!</v>
      </c>
    </row>
    <row r="868" spans="1:29" x14ac:dyDescent="0.2">
      <c r="B868" s="103">
        <v>-1</v>
      </c>
      <c r="C868" s="9"/>
      <c r="D868" s="8"/>
      <c r="S868" s="6"/>
      <c r="T868" s="6"/>
      <c r="U868" s="6"/>
      <c r="V868" s="27">
        <f>+$T$14</f>
        <v>0</v>
      </c>
      <c r="W868" s="6" t="s">
        <v>155</v>
      </c>
      <c r="X868" s="6"/>
      <c r="Y868" s="6"/>
      <c r="Z868" s="6"/>
      <c r="AA868" s="6"/>
      <c r="AB868" s="19">
        <f>+AB$876-V$876+V867</f>
        <v>2.7160000000000005E-3</v>
      </c>
    </row>
    <row r="869" spans="1:29" x14ac:dyDescent="0.2">
      <c r="B869" s="103">
        <v>-1</v>
      </c>
      <c r="C869" s="9"/>
      <c r="D869" s="8"/>
      <c r="S869" s="6"/>
      <c r="T869" s="6"/>
      <c r="U869" s="6"/>
      <c r="V869" s="27">
        <f>$T$16</f>
        <v>-4.3999999999999999E-5</v>
      </c>
      <c r="W869" s="6" t="s">
        <v>156</v>
      </c>
      <c r="X869" s="6"/>
      <c r="Y869" s="6"/>
      <c r="Z869" s="6"/>
      <c r="AA869" s="6"/>
      <c r="AB869" s="19"/>
    </row>
    <row r="870" spans="1:29" x14ac:dyDescent="0.2">
      <c r="B870" s="103">
        <v>-1</v>
      </c>
      <c r="C870" s="9"/>
      <c r="D870" s="8"/>
      <c r="S870" s="6"/>
      <c r="T870" s="6"/>
      <c r="U870" s="6"/>
      <c r="V870" s="27">
        <f>$T$19</f>
        <v>1.15E-4</v>
      </c>
      <c r="W870" s="6" t="s">
        <v>157</v>
      </c>
      <c r="X870" s="6"/>
      <c r="Y870" s="6"/>
      <c r="Z870" s="6"/>
      <c r="AA870" s="6"/>
      <c r="AB870" s="19"/>
    </row>
    <row r="871" spans="1:29" x14ac:dyDescent="0.2">
      <c r="B871" s="103">
        <v>-1</v>
      </c>
      <c r="C871" s="9"/>
      <c r="D871" s="8"/>
      <c r="S871" s="6"/>
      <c r="T871" s="6"/>
      <c r="U871" s="6"/>
      <c r="V871" s="27">
        <f>$T$21</f>
        <v>4.6099999999999998E-4</v>
      </c>
      <c r="W871" s="6" t="s">
        <v>158</v>
      </c>
      <c r="X871" s="6"/>
      <c r="Y871" s="6"/>
      <c r="Z871" s="6"/>
      <c r="AA871" s="6"/>
      <c r="AB871" s="19"/>
    </row>
    <row r="872" spans="1:29" x14ac:dyDescent="0.2">
      <c r="B872" s="103">
        <v>-1</v>
      </c>
      <c r="C872" s="9"/>
      <c r="D872" s="8"/>
      <c r="S872" s="6"/>
      <c r="T872" s="6"/>
      <c r="U872" s="6"/>
      <c r="V872" s="27">
        <f>$T$23</f>
        <v>-8.1300000000000003E-4</v>
      </c>
      <c r="W872" s="6" t="s">
        <v>159</v>
      </c>
      <c r="X872" s="6"/>
      <c r="Y872" s="6"/>
      <c r="Z872" s="6"/>
      <c r="AA872" s="6"/>
      <c r="AB872" s="19"/>
    </row>
    <row r="873" spans="1:29" x14ac:dyDescent="0.2">
      <c r="B873" s="103">
        <v>-1</v>
      </c>
      <c r="C873" s="9"/>
      <c r="D873" s="8"/>
      <c r="S873" s="6"/>
      <c r="T873" s="6"/>
      <c r="U873" s="6"/>
      <c r="V873" s="27">
        <f>$T$25</f>
        <v>0</v>
      </c>
      <c r="W873" s="6" t="s">
        <v>160</v>
      </c>
      <c r="X873" s="6"/>
      <c r="Y873" s="6"/>
      <c r="Z873" s="6"/>
      <c r="AA873" s="6"/>
      <c r="AB873" s="19"/>
    </row>
    <row r="874" spans="1:29" x14ac:dyDescent="0.2">
      <c r="B874" s="103">
        <v>-1</v>
      </c>
      <c r="C874" s="9"/>
      <c r="D874" s="8"/>
      <c r="S874" s="6"/>
      <c r="T874" s="6"/>
      <c r="U874" s="6"/>
      <c r="V874" s="19">
        <f>T27</f>
        <v>0</v>
      </c>
      <c r="W874" s="6" t="s">
        <v>161</v>
      </c>
      <c r="X874" s="6"/>
      <c r="Y874" s="6"/>
      <c r="Z874" s="6"/>
      <c r="AA874" s="6"/>
      <c r="AB874" s="19"/>
    </row>
    <row r="875" spans="1:29" x14ac:dyDescent="0.2">
      <c r="B875" s="103"/>
      <c r="C875" s="9"/>
      <c r="D875" s="8"/>
      <c r="S875" s="6"/>
      <c r="T875" s="6"/>
      <c r="U875" s="6"/>
      <c r="V875" s="19">
        <f>T29</f>
        <v>2.6050000000000001E-3</v>
      </c>
      <c r="W875" s="6" t="s">
        <v>301</v>
      </c>
      <c r="X875" s="6"/>
      <c r="Y875" s="6"/>
      <c r="Z875" s="6"/>
      <c r="AA875" s="6"/>
      <c r="AB875" s="19"/>
    </row>
    <row r="876" spans="1:29" x14ac:dyDescent="0.2">
      <c r="B876" s="103">
        <v>-1</v>
      </c>
      <c r="C876" s="9"/>
      <c r="D876" s="8"/>
      <c r="F876" s="70"/>
      <c r="G876" s="70"/>
      <c r="H876" s="70"/>
      <c r="I876" s="70"/>
      <c r="J876" s="161">
        <v>215</v>
      </c>
      <c r="K876" s="162">
        <v>4.0410000000000001E-2</v>
      </c>
      <c r="L876" s="161">
        <v>25</v>
      </c>
      <c r="M876" s="161">
        <v>25</v>
      </c>
      <c r="N876" s="72"/>
      <c r="O876" s="72"/>
      <c r="P876" s="72"/>
      <c r="Q876" s="72"/>
      <c r="R876" s="5"/>
      <c r="S876" s="27">
        <f>+S666</f>
        <v>3.0000000000000001E-3</v>
      </c>
      <c r="T876" s="27">
        <f>+T666</f>
        <v>-3.4320000000000002E-3</v>
      </c>
      <c r="U876" s="27">
        <f>+$S$30</f>
        <v>1.305E-3</v>
      </c>
      <c r="V876" s="27">
        <f>+V666</f>
        <v>5.5240000000000003E-3</v>
      </c>
      <c r="W876" s="27">
        <f>+W666</f>
        <v>0</v>
      </c>
      <c r="X876" s="27">
        <f>+X771</f>
        <v>2.5569999999999998E-3</v>
      </c>
      <c r="Y876" s="27">
        <f>+Y771</f>
        <v>-1.771E-3</v>
      </c>
      <c r="Z876" s="27">
        <f>+Z771</f>
        <v>6.2500000000000001E-4</v>
      </c>
      <c r="AA876" s="27">
        <f>+AA771</f>
        <v>-3.4600000000000001E-4</v>
      </c>
      <c r="AB876" s="19">
        <f>SUM(U876:Z876)</f>
        <v>8.2400000000000008E-3</v>
      </c>
    </row>
    <row r="877" spans="1:29" x14ac:dyDescent="0.2">
      <c r="A877" s="1"/>
      <c r="B877" s="103">
        <v>-1</v>
      </c>
      <c r="C877" s="9"/>
      <c r="D877" s="8"/>
      <c r="F877" s="70"/>
      <c r="G877" s="70"/>
      <c r="H877" s="70"/>
      <c r="I877" s="70"/>
      <c r="J877" s="70"/>
      <c r="K877" s="70"/>
      <c r="L877" s="73">
        <v>4000</v>
      </c>
      <c r="M877" s="70"/>
      <c r="N877" s="70"/>
      <c r="O877" s="70"/>
      <c r="P877" s="70"/>
      <c r="Q877" s="70"/>
    </row>
    <row r="878" spans="1:29" x14ac:dyDescent="0.2">
      <c r="B878" s="103">
        <v>-1</v>
      </c>
      <c r="C878" s="9"/>
      <c r="D878" s="8"/>
      <c r="F878" s="12"/>
      <c r="J878" s="12" t="s">
        <v>137</v>
      </c>
      <c r="K878" s="12" t="s">
        <v>197</v>
      </c>
      <c r="L878" s="204" t="s">
        <v>30</v>
      </c>
      <c r="M878" s="204"/>
      <c r="N878" s="12"/>
      <c r="O878" s="12"/>
      <c r="P878" s="12"/>
      <c r="Q878" s="143" t="s">
        <v>173</v>
      </c>
      <c r="R878" s="12" t="s">
        <v>196</v>
      </c>
      <c r="S878" s="12">
        <v>21</v>
      </c>
      <c r="T878" s="12">
        <v>6</v>
      </c>
      <c r="U878" s="12">
        <v>3</v>
      </c>
      <c r="V878" s="12">
        <v>22</v>
      </c>
      <c r="W878" s="12">
        <v>13</v>
      </c>
      <c r="X878" s="12">
        <v>20</v>
      </c>
      <c r="Y878" s="12">
        <v>24</v>
      </c>
      <c r="Z878" s="12">
        <v>25</v>
      </c>
      <c r="AA878" s="12">
        <v>26</v>
      </c>
    </row>
    <row r="879" spans="1:29" x14ac:dyDescent="0.2">
      <c r="A879" s="13"/>
      <c r="B879" s="103">
        <v>-1</v>
      </c>
      <c r="C879" s="99" t="s">
        <v>209</v>
      </c>
      <c r="D879" s="100" t="s">
        <v>210</v>
      </c>
      <c r="E879" s="130" t="s">
        <v>199</v>
      </c>
      <c r="F879" s="13" t="s">
        <v>141</v>
      </c>
      <c r="G879" s="13" t="s">
        <v>142</v>
      </c>
      <c r="H879" s="13" t="s">
        <v>143</v>
      </c>
      <c r="J879" s="13" t="s">
        <v>144</v>
      </c>
      <c r="K879" s="13" t="s">
        <v>144</v>
      </c>
      <c r="L879" s="13" t="s">
        <v>232</v>
      </c>
      <c r="M879" s="13" t="s">
        <v>233</v>
      </c>
      <c r="N879" s="143" t="s">
        <v>138</v>
      </c>
      <c r="O879" s="13"/>
      <c r="P879" s="13"/>
      <c r="Q879" s="13"/>
      <c r="R879" s="13" t="s">
        <v>201</v>
      </c>
      <c r="S879" s="13" t="s">
        <v>106</v>
      </c>
      <c r="T879" s="13" t="s">
        <v>36</v>
      </c>
      <c r="U879" s="139" t="s">
        <v>38</v>
      </c>
      <c r="V879" s="13" t="s">
        <v>107</v>
      </c>
      <c r="W879" s="13" t="s">
        <v>108</v>
      </c>
      <c r="X879" s="13" t="s">
        <v>109</v>
      </c>
      <c r="Y879" s="139" t="s">
        <v>44</v>
      </c>
      <c r="Z879" s="139" t="s">
        <v>46</v>
      </c>
      <c r="AA879" s="139" t="s">
        <v>48</v>
      </c>
      <c r="AB879" s="66" t="s">
        <v>110</v>
      </c>
    </row>
    <row r="880" spans="1:29" x14ac:dyDescent="0.2">
      <c r="A880" s="48"/>
      <c r="B880" s="103">
        <v>-1</v>
      </c>
      <c r="D880" s="8"/>
      <c r="E880" s="9"/>
      <c r="F880" s="36"/>
      <c r="G880" s="12"/>
      <c r="H880" s="12"/>
      <c r="J880" s="12"/>
      <c r="K880" s="12"/>
      <c r="L880" s="12"/>
      <c r="M880" s="12"/>
      <c r="N880" s="12"/>
      <c r="O880" s="12"/>
      <c r="P880" s="12"/>
      <c r="Q880" s="12"/>
      <c r="R880" s="16" t="e">
        <f>VLOOKUP((D881),'Pwr Factor'!$A$1:$B$52,2)</f>
        <v>#N/A</v>
      </c>
      <c r="S880" s="50">
        <v>1</v>
      </c>
      <c r="T880" s="12"/>
      <c r="U880" s="12"/>
      <c r="V880" s="12"/>
      <c r="W880" s="12"/>
      <c r="X880" s="12"/>
      <c r="Y880" s="12"/>
      <c r="Z880" s="12"/>
      <c r="AA880" s="12"/>
    </row>
    <row r="881" spans="1:29" x14ac:dyDescent="0.2">
      <c r="A881" s="1" t="s">
        <v>148</v>
      </c>
      <c r="B881" s="103">
        <f>IF(AND('AES Indiana Bill Calc.'!$D$17="HL2",'AES Indiana Bill Calc.'!$D$18="Yes 100%",'AES Indiana Bill Calc.'!$D$20="No"),'AES Indiana Bill Calc.'!$D$19,-1)</f>
        <v>-1</v>
      </c>
      <c r="C881" s="103">
        <f>MAX(E881,$C$769)</f>
        <v>2000</v>
      </c>
      <c r="D881" s="103" t="b">
        <f>IF(AND('AES Indiana Bill Calc.'!$D$17="HL2",'AES Indiana Bill Calc.'!$D$18="Yes 100%",'AES Indiana Bill Calc.'!$D$20="No"),'AES Indiana Bill Calc.'!$D$22)</f>
        <v>0</v>
      </c>
      <c r="E881" s="103" t="b">
        <f>IF(AND('AES Indiana Bill Calc.'!$D$17="HL2",'AES Indiana Bill Calc.'!$D$18="Yes 100%",'AES Indiana Bill Calc.'!$D$20="No"),'AES Indiana Bill Calc.'!$D$21)</f>
        <v>0</v>
      </c>
      <c r="F881" s="36" t="s">
        <v>67</v>
      </c>
      <c r="G881" s="92" t="e">
        <f>SUM(J881:M881,R881:AA881)</f>
        <v>#N/A</v>
      </c>
      <c r="H881" s="19" t="e">
        <f>IF(ISBLANK(B881),0,+#REF!/B881)</f>
        <v>#REF!</v>
      </c>
      <c r="I881" s="152"/>
      <c r="J881" s="51">
        <f>IF(ISBLANK(B881),0,+J$876)</f>
        <v>215</v>
      </c>
      <c r="K881" s="17">
        <f>ROUND($B881*K$876,2)</f>
        <v>-0.04</v>
      </c>
      <c r="L881" s="17">
        <f>IF(ISBLANK($C881),0,IF($C881&lt;$C$877,ROUND($C$877*$L$876,2),IF($C881&gt;L$877,ROUND(L$877*L$876,2),ROUND($C881*L$876,2))))</f>
        <v>50000</v>
      </c>
      <c r="M881" s="17">
        <f>IF($C881&gt;L$877,ROUND(($C881-L$877)*M$876,2),0)</f>
        <v>0</v>
      </c>
      <c r="N881" s="17">
        <f>K881</f>
        <v>-0.04</v>
      </c>
      <c r="O881" s="17"/>
      <c r="P881" s="17"/>
      <c r="Q881" s="17">
        <f>SUM(L881:M881)</f>
        <v>50000</v>
      </c>
      <c r="R881" s="16" t="e">
        <f>ROUND(SUM(K881:M881)*(R880-1),2)</f>
        <v>#N/A</v>
      </c>
      <c r="S881" s="17">
        <f>ROUND($B881*S$876*S880,2)</f>
        <v>0</v>
      </c>
      <c r="T881" s="17">
        <f t="shared" ref="T881:AA881" si="55">ROUND($B881*T$876,2)</f>
        <v>0</v>
      </c>
      <c r="U881" s="17">
        <f t="shared" si="55"/>
        <v>0</v>
      </c>
      <c r="V881" s="8">
        <f t="shared" si="55"/>
        <v>-0.01</v>
      </c>
      <c r="W881" s="17">
        <f t="shared" si="55"/>
        <v>0</v>
      </c>
      <c r="X881" s="17">
        <f t="shared" si="55"/>
        <v>0</v>
      </c>
      <c r="Y881" s="17">
        <f t="shared" si="55"/>
        <v>0</v>
      </c>
      <c r="Z881" s="17">
        <f t="shared" si="55"/>
        <v>0</v>
      </c>
      <c r="AA881" s="17">
        <f t="shared" si="55"/>
        <v>0</v>
      </c>
      <c r="AB881" s="19">
        <f>SUM(U876:AA876)</f>
        <v>7.894E-3</v>
      </c>
      <c r="AC881" s="67" t="str">
        <f>+F881</f>
        <v>HL2</v>
      </c>
    </row>
    <row r="882" spans="1:29" x14ac:dyDescent="0.2">
      <c r="A882" s="9"/>
      <c r="B882" s="103">
        <v>-1</v>
      </c>
      <c r="D882" s="8"/>
      <c r="E882" s="9"/>
      <c r="F882" s="36"/>
      <c r="G882" s="12"/>
      <c r="H882" s="12"/>
      <c r="J882" s="12"/>
      <c r="K882" s="12"/>
      <c r="L882" s="12"/>
      <c r="M882" s="12"/>
      <c r="N882" s="12"/>
      <c r="O882" s="12"/>
      <c r="P882" s="12"/>
      <c r="Q882" s="12"/>
      <c r="R882" s="16" t="e">
        <f>VLOOKUP((D883),'Pwr Factor'!$A$1:$B$52,2)</f>
        <v>#N/A</v>
      </c>
      <c r="S882" s="50">
        <v>0.5</v>
      </c>
      <c r="T882" s="12"/>
      <c r="U882" s="12"/>
      <c r="V882" s="12"/>
      <c r="W882" s="12"/>
      <c r="X882" s="12"/>
      <c r="Y882" s="12"/>
      <c r="Z882" s="12"/>
      <c r="AA882" s="12"/>
    </row>
    <row r="883" spans="1:29" x14ac:dyDescent="0.2">
      <c r="A883" s="1" t="s">
        <v>149</v>
      </c>
      <c r="B883" s="103">
        <f>IF(AND('AES Indiana Bill Calc.'!$D$17="HL2",'AES Indiana Bill Calc.'!$D$18="Yes 50%",'AES Indiana Bill Calc.'!$D$20="No"),'AES Indiana Bill Calc.'!$D$19,-1)</f>
        <v>-1</v>
      </c>
      <c r="C883" s="103">
        <f>MAX(E883,$C$769)</f>
        <v>2000</v>
      </c>
      <c r="D883" s="103" t="b">
        <f>IF(AND('AES Indiana Bill Calc.'!$D$17="HL2",'AES Indiana Bill Calc.'!$D$18="Yes 50%",'AES Indiana Bill Calc.'!$D$20="No"),'AES Indiana Bill Calc.'!$D$22)</f>
        <v>0</v>
      </c>
      <c r="E883" s="103" t="b">
        <f>IF(AND('AES Indiana Bill Calc.'!$D$17="HL2",'AES Indiana Bill Calc.'!$D$18="Yes 50%",'AES Indiana Bill Calc.'!$D$20="No"),'AES Indiana Bill Calc.'!$D$21)</f>
        <v>0</v>
      </c>
      <c r="F883" s="36" t="s">
        <v>67</v>
      </c>
      <c r="G883" s="92" t="e">
        <f>SUM(J883:M883,R883:AA883)</f>
        <v>#N/A</v>
      </c>
      <c r="H883" s="19" t="e">
        <f>IF(ISBLANK(B883),0,+#REF!/B883)</f>
        <v>#REF!</v>
      </c>
      <c r="I883" s="152"/>
      <c r="J883" s="51">
        <f>IF(ISBLANK(B883),0,+J$876)</f>
        <v>215</v>
      </c>
      <c r="K883" s="17">
        <f>ROUND($B883*K$876,2)</f>
        <v>-0.04</v>
      </c>
      <c r="L883" s="17">
        <f>IF(ISBLANK($C883),0,IF($C883&lt;$C$877,ROUND($C$877*$L$876,2),IF($C883&gt;L$877,ROUND(L$877*L$876,2),ROUND($C883*L$876,2))))</f>
        <v>50000</v>
      </c>
      <c r="M883" s="17">
        <f>IF($C883&gt;L$877,ROUND(($C883-L$877)*M$876,2),0)</f>
        <v>0</v>
      </c>
      <c r="N883" s="17">
        <f>K883</f>
        <v>-0.04</v>
      </c>
      <c r="O883" s="17"/>
      <c r="P883" s="17"/>
      <c r="Q883" s="17">
        <f>SUM(L883:M883)</f>
        <v>50000</v>
      </c>
      <c r="R883" s="16" t="e">
        <f>ROUND(SUM(K883:M883)*(R882-1),2)</f>
        <v>#N/A</v>
      </c>
      <c r="S883" s="17">
        <f>ROUND($B883*S$876*S882,2)</f>
        <v>0</v>
      </c>
      <c r="T883" s="17">
        <f t="shared" ref="T883:AA883" si="56">ROUND($B883*T$876,2)</f>
        <v>0</v>
      </c>
      <c r="U883" s="17">
        <f t="shared" si="56"/>
        <v>0</v>
      </c>
      <c r="V883" s="8">
        <f t="shared" si="56"/>
        <v>-0.01</v>
      </c>
      <c r="W883" s="17">
        <f t="shared" si="56"/>
        <v>0</v>
      </c>
      <c r="X883" s="17">
        <f t="shared" si="56"/>
        <v>0</v>
      </c>
      <c r="Y883" s="17">
        <f t="shared" si="56"/>
        <v>0</v>
      </c>
      <c r="Z883" s="17">
        <f t="shared" si="56"/>
        <v>0</v>
      </c>
      <c r="AA883" s="17">
        <f t="shared" si="56"/>
        <v>0</v>
      </c>
      <c r="AB883" s="19">
        <f>SUM(U878:AA878)</f>
        <v>133</v>
      </c>
      <c r="AC883" s="67" t="str">
        <f>+F883</f>
        <v>HL2</v>
      </c>
    </row>
    <row r="884" spans="1:29" x14ac:dyDescent="0.2">
      <c r="A884" s="9"/>
      <c r="B884" s="103">
        <v>-1</v>
      </c>
      <c r="D884" s="8"/>
      <c r="E884" s="9"/>
      <c r="F884" s="36"/>
      <c r="G884" s="12"/>
      <c r="H884" s="12"/>
      <c r="J884" s="12"/>
      <c r="K884" s="12"/>
      <c r="L884" s="12"/>
      <c r="M884" s="12"/>
      <c r="N884" s="12"/>
      <c r="O884" s="12"/>
      <c r="P884" s="12"/>
      <c r="Q884" s="12"/>
      <c r="R884" s="16" t="e">
        <f>VLOOKUP((D885),'Pwr Factor'!$A$1:$B$52,2)</f>
        <v>#N/A</v>
      </c>
      <c r="S884" s="50">
        <v>0.25</v>
      </c>
      <c r="T884" s="12"/>
      <c r="U884" s="12"/>
      <c r="V884" s="12"/>
      <c r="W884" s="12"/>
      <c r="X884" s="12"/>
      <c r="Y884" s="12"/>
      <c r="Z884" s="12"/>
      <c r="AA884" s="12"/>
    </row>
    <row r="885" spans="1:29" x14ac:dyDescent="0.2">
      <c r="A885" s="1" t="s">
        <v>150</v>
      </c>
      <c r="B885" s="103">
        <f>IF(AND('AES Indiana Bill Calc.'!$D$17="HL2",'AES Indiana Bill Calc.'!$D$18="Yes 25%",'AES Indiana Bill Calc.'!$D$20="No"),'AES Indiana Bill Calc.'!$D$19,-1)</f>
        <v>-1</v>
      </c>
      <c r="C885" s="103">
        <f>MAX(E885,$C$769)</f>
        <v>2000</v>
      </c>
      <c r="D885" s="103" t="b">
        <f>IF(AND('AES Indiana Bill Calc.'!$D$17="HL2",'AES Indiana Bill Calc.'!$D$18="Yes 25%",'AES Indiana Bill Calc.'!$D$20="No"),'AES Indiana Bill Calc.'!$D$22)</f>
        <v>0</v>
      </c>
      <c r="E885" s="103" t="b">
        <f>IF(AND('AES Indiana Bill Calc.'!$D$17="HL2",'AES Indiana Bill Calc.'!$D$18="Yes 25%",'AES Indiana Bill Calc.'!$D$20="No"),'AES Indiana Bill Calc.'!$D$21)</f>
        <v>0</v>
      </c>
      <c r="F885" s="36" t="s">
        <v>67</v>
      </c>
      <c r="G885" s="92" t="e">
        <f>SUM(J885:M885,R885:AA885)</f>
        <v>#N/A</v>
      </c>
      <c r="H885" s="19" t="e">
        <f>IF(ISBLANK(B885),0,+#REF!/B885)</f>
        <v>#REF!</v>
      </c>
      <c r="I885" s="152"/>
      <c r="J885" s="51">
        <f>IF(ISBLANK(B885),0,+J$876)</f>
        <v>215</v>
      </c>
      <c r="K885" s="17">
        <f>ROUND($B885*K$876,2)</f>
        <v>-0.04</v>
      </c>
      <c r="L885" s="17">
        <f>IF(ISBLANK($C885),0,IF($C885&lt;$C$877,ROUND($C$877*$L$876,2),IF($C885&gt;L$877,ROUND(L$877*L$876,2),ROUND($C885*L$876,2))))</f>
        <v>50000</v>
      </c>
      <c r="M885" s="17">
        <f>IF($C885&gt;L$877,ROUND(($C885-L$877)*M$876,2),0)</f>
        <v>0</v>
      </c>
      <c r="N885" s="17">
        <f>K885</f>
        <v>-0.04</v>
      </c>
      <c r="O885" s="17"/>
      <c r="P885" s="17"/>
      <c r="Q885" s="17">
        <f>SUM(L885:M885)</f>
        <v>50000</v>
      </c>
      <c r="R885" s="16" t="e">
        <f>ROUND(SUM(K885:M885)*(R884-1),2)</f>
        <v>#N/A</v>
      </c>
      <c r="S885" s="17">
        <f>ROUND($B885*S$876*S884,2)</f>
        <v>0</v>
      </c>
      <c r="T885" s="17">
        <f t="shared" ref="T885:AA885" si="57">ROUND($B885*T$876,2)</f>
        <v>0</v>
      </c>
      <c r="U885" s="17">
        <f t="shared" si="57"/>
        <v>0</v>
      </c>
      <c r="V885" s="8">
        <f t="shared" si="57"/>
        <v>-0.01</v>
      </c>
      <c r="W885" s="17">
        <f t="shared" si="57"/>
        <v>0</v>
      </c>
      <c r="X885" s="17">
        <f t="shared" si="57"/>
        <v>0</v>
      </c>
      <c r="Y885" s="17">
        <f t="shared" si="57"/>
        <v>0</v>
      </c>
      <c r="Z885" s="17">
        <f t="shared" si="57"/>
        <v>0</v>
      </c>
      <c r="AA885" s="17">
        <f t="shared" si="57"/>
        <v>0</v>
      </c>
      <c r="AB885" s="19">
        <f>SUM(U880:AA880)</f>
        <v>0</v>
      </c>
      <c r="AC885" s="67" t="str">
        <f>+F885</f>
        <v>HL2</v>
      </c>
    </row>
    <row r="886" spans="1:29" x14ac:dyDescent="0.2">
      <c r="A886" s="9"/>
      <c r="B886" s="103">
        <v>-1</v>
      </c>
      <c r="D886" s="8"/>
      <c r="E886" s="9"/>
      <c r="F886" s="36"/>
      <c r="G886" s="12"/>
      <c r="H886" s="12"/>
      <c r="J886" s="12"/>
      <c r="K886" s="12"/>
      <c r="L886" s="12"/>
      <c r="M886" s="12"/>
      <c r="N886" s="12"/>
      <c r="O886" s="12"/>
      <c r="P886" s="12"/>
      <c r="Q886" s="12"/>
      <c r="R886" s="16" t="e">
        <f>VLOOKUP((D887),'Pwr Factor'!$A$1:$B$52,2)</f>
        <v>#N/A</v>
      </c>
      <c r="S886" s="50">
        <v>0.1</v>
      </c>
      <c r="T886" s="12"/>
      <c r="U886" s="12"/>
      <c r="V886" s="12"/>
      <c r="W886" s="12"/>
      <c r="X886" s="12"/>
      <c r="Y886" s="12"/>
      <c r="Z886" s="12"/>
      <c r="AA886" s="12"/>
    </row>
    <row r="887" spans="1:29" x14ac:dyDescent="0.2">
      <c r="A887" s="1" t="s">
        <v>164</v>
      </c>
      <c r="B887" s="103">
        <f>IF(AND('AES Indiana Bill Calc.'!$D$17="HL2",'AES Indiana Bill Calc.'!$D$18="Yes 10%",'AES Indiana Bill Calc.'!$D$20="No"),'AES Indiana Bill Calc.'!$D$19,-1)</f>
        <v>-1</v>
      </c>
      <c r="C887" s="103">
        <f>MAX(E887,$C$769)</f>
        <v>2000</v>
      </c>
      <c r="D887" s="103" t="b">
        <f>IF(AND('AES Indiana Bill Calc.'!$D$17="HL2",'AES Indiana Bill Calc.'!$D$18="Yes 10%",'AES Indiana Bill Calc.'!$D$20="No"),'AES Indiana Bill Calc.'!$D$22)</f>
        <v>0</v>
      </c>
      <c r="E887" s="103" t="b">
        <f>IF(AND('AES Indiana Bill Calc.'!$D$17="HL2",'AES Indiana Bill Calc.'!$D$18="Yes 10%",'AES Indiana Bill Calc.'!$D$20="No"),'AES Indiana Bill Calc.'!$D$21)</f>
        <v>0</v>
      </c>
      <c r="F887" s="36" t="s">
        <v>67</v>
      </c>
      <c r="G887" s="92" t="e">
        <f>SUM(J887:M887,R887:AA887)</f>
        <v>#N/A</v>
      </c>
      <c r="H887" s="19" t="e">
        <f>IF(ISBLANK(B887),0,+#REF!/B887)</f>
        <v>#REF!</v>
      </c>
      <c r="I887" s="152"/>
      <c r="J887" s="51">
        <f>IF(ISBLANK(B887),0,+J$876)</f>
        <v>215</v>
      </c>
      <c r="K887" s="17">
        <f>ROUND($B887*K$876,2)</f>
        <v>-0.04</v>
      </c>
      <c r="L887" s="17">
        <f>IF(ISBLANK($C887),0,IF($C887&lt;$C$877,ROUND($C$877*$L$876,2),IF($C887&gt;L$877,ROUND(L$877*L$876,2),ROUND($C887*L$876,2))))</f>
        <v>50000</v>
      </c>
      <c r="M887" s="17">
        <f>IF($C887&gt;L$877,ROUND(($C887-L$877)*M$876,2),0)</f>
        <v>0</v>
      </c>
      <c r="N887" s="17">
        <f>K887</f>
        <v>-0.04</v>
      </c>
      <c r="O887" s="17"/>
      <c r="P887" s="17"/>
      <c r="Q887" s="17">
        <f>SUM(L887:M887)</f>
        <v>50000</v>
      </c>
      <c r="R887" s="16" t="e">
        <f>ROUND(SUM(K887:M887)*(R886-1),2)</f>
        <v>#N/A</v>
      </c>
      <c r="S887" s="17">
        <f>ROUND($B887*S$876*S886,2)</f>
        <v>0</v>
      </c>
      <c r="T887" s="17">
        <f t="shared" ref="T887:AA887" si="58">ROUND($B887*T$876,2)</f>
        <v>0</v>
      </c>
      <c r="U887" s="17">
        <f t="shared" si="58"/>
        <v>0</v>
      </c>
      <c r="V887" s="8">
        <f t="shared" si="58"/>
        <v>-0.01</v>
      </c>
      <c r="W887" s="17">
        <f t="shared" si="58"/>
        <v>0</v>
      </c>
      <c r="X887" s="17">
        <f t="shared" si="58"/>
        <v>0</v>
      </c>
      <c r="Y887" s="17">
        <f t="shared" si="58"/>
        <v>0</v>
      </c>
      <c r="Z887" s="17">
        <f t="shared" si="58"/>
        <v>0</v>
      </c>
      <c r="AA887" s="17">
        <f t="shared" si="58"/>
        <v>0</v>
      </c>
      <c r="AB887" s="19">
        <f>SUM(U882:AA882)</f>
        <v>0</v>
      </c>
      <c r="AC887" s="67" t="str">
        <f>+F887</f>
        <v>HL2</v>
      </c>
    </row>
    <row r="888" spans="1:29" x14ac:dyDescent="0.2">
      <c r="A888" s="9"/>
      <c r="B888" s="103">
        <v>-1</v>
      </c>
      <c r="D888" s="8"/>
      <c r="E888" s="9"/>
      <c r="F888" s="36"/>
      <c r="G888" s="12"/>
      <c r="H888" s="12"/>
      <c r="J888" s="12"/>
      <c r="K888" s="12"/>
      <c r="L888" s="12"/>
      <c r="M888" s="12"/>
      <c r="N888" s="12"/>
      <c r="O888" s="12"/>
      <c r="P888" s="12"/>
      <c r="Q888" s="12"/>
      <c r="R888" s="16" t="e">
        <f>VLOOKUP((D889),'Pwr Factor'!$A$1:$B$52,2)</f>
        <v>#N/A</v>
      </c>
      <c r="S888" s="50">
        <v>0</v>
      </c>
      <c r="T888" s="12"/>
      <c r="U888" s="12"/>
      <c r="V888" s="12"/>
      <c r="W888" s="12"/>
      <c r="X888" s="12"/>
      <c r="Y888" s="12"/>
      <c r="Z888" s="12"/>
      <c r="AA888" s="12"/>
    </row>
    <row r="889" spans="1:29" x14ac:dyDescent="0.2">
      <c r="A889" s="1" t="s">
        <v>147</v>
      </c>
      <c r="B889" s="103">
        <f>IF(AND('AES Indiana Bill Calc.'!$D$17="HL2",'AES Indiana Bill Calc.'!$D$18="No",'AES Indiana Bill Calc.'!$D$20="No"),'AES Indiana Bill Calc.'!$D$19,-1)</f>
        <v>-1</v>
      </c>
      <c r="C889" s="103">
        <f>MAX(E889,$C$769)</f>
        <v>2000</v>
      </c>
      <c r="D889" s="103" t="b">
        <f>IF(AND('AES Indiana Bill Calc.'!$D$17="HL2",'AES Indiana Bill Calc.'!$D$18="No",'AES Indiana Bill Calc.'!$D$20="No"),'AES Indiana Bill Calc.'!$D$22)</f>
        <v>0</v>
      </c>
      <c r="E889" s="103" t="b">
        <f>IF(AND('AES Indiana Bill Calc.'!$D$17="HL2",'AES Indiana Bill Calc.'!$D$18="No",'AES Indiana Bill Calc.'!$D$20="No"),'AES Indiana Bill Calc.'!$D$21)</f>
        <v>0</v>
      </c>
      <c r="F889" s="36" t="s">
        <v>67</v>
      </c>
      <c r="G889" s="92" t="e">
        <f>SUM(J889:M889,R889:AA889)</f>
        <v>#N/A</v>
      </c>
      <c r="H889" s="19" t="e">
        <f>IF(ISBLANK(B889),0,+#REF!/B889)</f>
        <v>#REF!</v>
      </c>
      <c r="I889" s="152"/>
      <c r="J889" s="51">
        <f t="shared" ref="J889:J952" si="59">IF(ISBLANK(B889),0,+J$876)</f>
        <v>215</v>
      </c>
      <c r="K889" s="17">
        <f t="shared" ref="K889:K952" si="60">ROUND($B889*K$876,2)</f>
        <v>-0.04</v>
      </c>
      <c r="L889" s="17">
        <f>IF(ISBLANK($C889),0,IF($C889&lt;$C$877,ROUND($C$877*$L$876,2),IF($C889&gt;L$877,ROUND(L$877*L$876,2),ROUND($C889*L$876,2))))</f>
        <v>50000</v>
      </c>
      <c r="M889" s="17">
        <f>IF($C889&gt;L$877,ROUND(($C889-L$877)*M$876,2),0)</f>
        <v>0</v>
      </c>
      <c r="N889" s="17">
        <f>K889</f>
        <v>-0.04</v>
      </c>
      <c r="O889" s="17"/>
      <c r="P889" s="17"/>
      <c r="Q889" s="17">
        <f>SUM(L889:M889)</f>
        <v>50000</v>
      </c>
      <c r="R889" s="16" t="e">
        <f>ROUND(SUM(K889:M889)*(R888-1),2)</f>
        <v>#N/A</v>
      </c>
      <c r="S889" s="17">
        <f>ROUND($B889*S$876*S888,2)</f>
        <v>0</v>
      </c>
      <c r="T889" s="17">
        <f t="shared" ref="T889:AA889" si="61">ROUND($B889*T$876,2)</f>
        <v>0</v>
      </c>
      <c r="U889" s="17">
        <f t="shared" si="61"/>
        <v>0</v>
      </c>
      <c r="V889" s="8">
        <f t="shared" si="61"/>
        <v>-0.01</v>
      </c>
      <c r="W889" s="17">
        <f t="shared" si="61"/>
        <v>0</v>
      </c>
      <c r="X889" s="17">
        <f t="shared" si="61"/>
        <v>0</v>
      </c>
      <c r="Y889" s="17">
        <f t="shared" si="61"/>
        <v>0</v>
      </c>
      <c r="Z889" s="17">
        <f t="shared" si="61"/>
        <v>0</v>
      </c>
      <c r="AA889" s="17">
        <f t="shared" si="61"/>
        <v>0</v>
      </c>
      <c r="AB889" s="19">
        <f>SUM(U884:AA884)</f>
        <v>0</v>
      </c>
      <c r="AC889" s="67" t="str">
        <f t="shared" ref="AC889:AC952" si="62">+F889</f>
        <v>HL2</v>
      </c>
    </row>
    <row r="890" spans="1:29" x14ac:dyDescent="0.2">
      <c r="B890" s="103">
        <v>-1</v>
      </c>
      <c r="D890" s="32"/>
      <c r="E890" s="103"/>
      <c r="F890" s="36"/>
      <c r="G890" s="92"/>
      <c r="H890" s="19" t="e">
        <f>IF(ISBLANK(B890),0,+#REF!/B890)</f>
        <v>#REF!</v>
      </c>
      <c r="J890" s="109">
        <f t="shared" si="59"/>
        <v>215</v>
      </c>
      <c r="K890" s="92">
        <f t="shared" si="60"/>
        <v>-0.04</v>
      </c>
      <c r="L890" s="92">
        <f>IF(ISBLANK($E890),0,IF($E890&lt;$C$877,ROUND($C$877*$L$876,2),IF($E890&gt;L$877,ROUND(L$877*L$876,2),ROUND($E890*L$876,2))))</f>
        <v>0</v>
      </c>
      <c r="M890" s="92">
        <f>IF($E890&gt;L$877,ROUND(($E890-L$877)*M$876,2),0)</f>
        <v>0</v>
      </c>
      <c r="N890" s="92"/>
      <c r="O890" s="92"/>
      <c r="P890" s="92"/>
      <c r="Q890" s="92"/>
      <c r="R890" s="16" t="e">
        <f>VLOOKUP((D891),'Pwr Factor'!$A$1:$B$52,2)</f>
        <v>#N/A</v>
      </c>
      <c r="S890" s="50">
        <v>1</v>
      </c>
      <c r="T890" s="92"/>
      <c r="U890" s="92"/>
      <c r="V890" s="32"/>
      <c r="W890" s="92"/>
      <c r="X890" s="92"/>
      <c r="Y890" s="92"/>
      <c r="Z890" s="92"/>
      <c r="AA890" s="92"/>
      <c r="AB890" s="19"/>
      <c r="AC890" s="105">
        <f t="shared" si="62"/>
        <v>0</v>
      </c>
    </row>
    <row r="891" spans="1:29" x14ac:dyDescent="0.2">
      <c r="A891" s="1" t="s">
        <v>148</v>
      </c>
      <c r="B891" s="103">
        <f>IF(AND('AES Indiana Bill Calc.'!$D$17="HL2",'AES Indiana Bill Calc.'!$D$18="Yes 100%",'AES Indiana Bill Calc.'!$D$20="Yes Before 2018"),'AES Indiana Bill Calc.'!$D$19,-1)</f>
        <v>-1</v>
      </c>
      <c r="C891" s="103">
        <f>MAX(E891,$C$769)</f>
        <v>2000</v>
      </c>
      <c r="D891" s="103" t="b">
        <f>IF(AND('AES Indiana Bill Calc.'!$D$17="HL2",'AES Indiana Bill Calc.'!$D$18="Yes 100%",'AES Indiana Bill Calc.'!$D$20="Yes Before 2018"),'AES Indiana Bill Calc.'!$D$22)</f>
        <v>0</v>
      </c>
      <c r="E891" s="103" t="b">
        <f>IF(AND('AES Indiana Bill Calc.'!$D$17="HL2",'AES Indiana Bill Calc.'!$D$18="Yes 100%",'AES Indiana Bill Calc.'!$D$20="Yes Before 2018"),'AES Indiana Bill Calc.'!$D$21)</f>
        <v>0</v>
      </c>
      <c r="F891" s="36" t="s">
        <v>241</v>
      </c>
      <c r="G891" s="92" t="e">
        <f>SUM(J891:M891,R891:AA891)</f>
        <v>#N/A</v>
      </c>
      <c r="H891" s="19" t="e">
        <f>IF(ISBLANK(B891),0,+#REF!/B891)</f>
        <v>#REF!</v>
      </c>
      <c r="J891" s="109">
        <f t="shared" si="59"/>
        <v>215</v>
      </c>
      <c r="K891" s="92">
        <f t="shared" si="60"/>
        <v>-0.04</v>
      </c>
      <c r="L891" s="17">
        <f>IF(ISBLANK($C891),0,IF($C891&lt;$C$877,ROUND($C$877*$L$876,2),IF($C891&gt;L$877,ROUND(L$877*L$876,2),ROUND($C891*L$876,2))))</f>
        <v>50000</v>
      </c>
      <c r="M891" s="17">
        <f>IF($C891&gt;L$877,ROUND(($C891-L$877)*M$876,2),0)</f>
        <v>0</v>
      </c>
      <c r="N891" s="17">
        <f>K891</f>
        <v>-0.04</v>
      </c>
      <c r="O891" s="92"/>
      <c r="P891" s="92"/>
      <c r="Q891" s="17">
        <f>SUM(L891:M891)</f>
        <v>50000</v>
      </c>
      <c r="R891" s="110" t="e">
        <f>ROUND(SUM(K891:M891)*(R890-1),2)</f>
        <v>#N/A</v>
      </c>
      <c r="S891" s="92">
        <f>ROUND($B891*S$876*S890,2)</f>
        <v>0</v>
      </c>
      <c r="T891" s="92">
        <f>ROUND($B891*T$876,2)</f>
        <v>0</v>
      </c>
      <c r="U891" s="92">
        <f>ROUND($B891*U$876,2)</f>
        <v>0</v>
      </c>
      <c r="V891" s="32">
        <f>ROUND($B891*$V$868,2)</f>
        <v>0</v>
      </c>
      <c r="W891" s="92">
        <f>ROUND($B891*W$876,2)</f>
        <v>0</v>
      </c>
      <c r="X891" s="92">
        <f>ROUND($B891*X$876,2)</f>
        <v>0</v>
      </c>
      <c r="Y891" s="92">
        <f>ROUND($B891*Y$876,2)</f>
        <v>0</v>
      </c>
      <c r="Z891" s="92">
        <f>ROUND($B891*Z$876,2)</f>
        <v>0</v>
      </c>
      <c r="AA891" s="92">
        <f>ROUND($B891*AA$876,2)</f>
        <v>0</v>
      </c>
      <c r="AB891" s="19">
        <f>SUM(U$876:AA$876)+(-V$876+V877)</f>
        <v>2.3699999999999997E-3</v>
      </c>
      <c r="AC891" s="105" t="str">
        <f t="shared" si="62"/>
        <v>HL27</v>
      </c>
    </row>
    <row r="892" spans="1:29" x14ac:dyDescent="0.2">
      <c r="A892" s="9"/>
      <c r="B892" s="103">
        <v>-1</v>
      </c>
      <c r="D892" s="32"/>
      <c r="E892" s="103"/>
      <c r="F892" s="36"/>
      <c r="G892" s="92"/>
      <c r="H892" s="19" t="e">
        <f>IF(ISBLANK(B892),0,+#REF!/B892)</f>
        <v>#REF!</v>
      </c>
      <c r="J892" s="109">
        <f t="shared" si="59"/>
        <v>215</v>
      </c>
      <c r="K892" s="92">
        <f t="shared" si="60"/>
        <v>-0.04</v>
      </c>
      <c r="L892" s="92">
        <f>IF(ISBLANK($E892),0,IF($E892&lt;$C$877,ROUND($C$877*$L$876,2),IF($E892&gt;L$877,ROUND(L$877*L$876,2),ROUND($E892*L$876,2))))</f>
        <v>0</v>
      </c>
      <c r="M892" s="92">
        <f>IF($E892&gt;L$877,ROUND(($E892-L$877)*M$876,2),0)</f>
        <v>0</v>
      </c>
      <c r="N892" s="92"/>
      <c r="O892" s="92"/>
      <c r="P892" s="92"/>
      <c r="Q892" s="92"/>
      <c r="R892" s="16" t="e">
        <f>VLOOKUP((D893),'Pwr Factor'!$A$1:$B$52,2)</f>
        <v>#N/A</v>
      </c>
      <c r="S892" s="50">
        <v>0.5</v>
      </c>
      <c r="T892" s="92"/>
      <c r="U892" s="92"/>
      <c r="V892" s="32"/>
      <c r="W892" s="92"/>
      <c r="X892" s="92"/>
      <c r="Y892" s="92"/>
      <c r="Z892" s="92"/>
      <c r="AA892" s="92"/>
      <c r="AB892" s="19"/>
      <c r="AC892" s="105">
        <f t="shared" si="62"/>
        <v>0</v>
      </c>
    </row>
    <row r="893" spans="1:29" x14ac:dyDescent="0.2">
      <c r="A893" s="1" t="s">
        <v>149</v>
      </c>
      <c r="B893" s="103">
        <f>IF(AND('AES Indiana Bill Calc.'!$D$17="HL2",'AES Indiana Bill Calc.'!$D$18="Yes 50%",'AES Indiana Bill Calc.'!$D$20="Yes Before 2018"),'AES Indiana Bill Calc.'!$D$19,-1)</f>
        <v>-1</v>
      </c>
      <c r="C893" s="103">
        <f>MAX(E893,$C$769)</f>
        <v>2000</v>
      </c>
      <c r="D893" s="103" t="b">
        <f>IF(AND('AES Indiana Bill Calc.'!$D$17="HL2",'AES Indiana Bill Calc.'!$D$18="Yes 50%",'AES Indiana Bill Calc.'!$D$20="Yes Before 2018"),'AES Indiana Bill Calc.'!$D$22)</f>
        <v>0</v>
      </c>
      <c r="E893" s="103" t="b">
        <f>IF(AND('AES Indiana Bill Calc.'!$D$17="HL2",'AES Indiana Bill Calc.'!$D$18="Yes 50%",'AES Indiana Bill Calc.'!$D$20="Yes Before 2018"),'AES Indiana Bill Calc.'!$D$21)</f>
        <v>0</v>
      </c>
      <c r="F893" s="36" t="s">
        <v>241</v>
      </c>
      <c r="G893" s="92" t="e">
        <f>SUM(J893:M893,R893:AA893)</f>
        <v>#N/A</v>
      </c>
      <c r="H893" s="19" t="e">
        <f>IF(ISBLANK(B893),0,+#REF!/B893)</f>
        <v>#REF!</v>
      </c>
      <c r="J893" s="109">
        <f t="shared" si="59"/>
        <v>215</v>
      </c>
      <c r="K893" s="92">
        <f t="shared" si="60"/>
        <v>-0.04</v>
      </c>
      <c r="L893" s="17">
        <f>IF(ISBLANK($C893),0,IF($C893&lt;$C$877,ROUND($C$877*$L$876,2),IF($C893&gt;L$877,ROUND(L$877*L$876,2),ROUND($C893*L$876,2))))</f>
        <v>50000</v>
      </c>
      <c r="M893" s="17">
        <f>IF($C893&gt;L$877,ROUND(($C893-L$877)*M$876,2),0)</f>
        <v>0</v>
      </c>
      <c r="N893" s="17">
        <f>K893</f>
        <v>-0.04</v>
      </c>
      <c r="O893" s="92"/>
      <c r="P893" s="92"/>
      <c r="Q893" s="17">
        <f>SUM(L893:M893)</f>
        <v>50000</v>
      </c>
      <c r="R893" s="110" t="e">
        <f>ROUND(SUM(K893:M893)*(R892-1),2)</f>
        <v>#N/A</v>
      </c>
      <c r="S893" s="92">
        <f>ROUND($B893*S$876*S892,2)</f>
        <v>0</v>
      </c>
      <c r="T893" s="92">
        <f>ROUND($B893*T$876,2)</f>
        <v>0</v>
      </c>
      <c r="U893" s="92">
        <f>ROUND($B893*U$876,2)</f>
        <v>0</v>
      </c>
      <c r="V893" s="32">
        <f>ROUND($B893*$V$868,2)</f>
        <v>0</v>
      </c>
      <c r="W893" s="92">
        <f>ROUND($B893*W$876,2)</f>
        <v>0</v>
      </c>
      <c r="X893" s="92">
        <f>ROUND($B893*X$876,2)</f>
        <v>0</v>
      </c>
      <c r="Y893" s="92">
        <f>ROUND($B893*Y$876,2)</f>
        <v>0</v>
      </c>
      <c r="Z893" s="92">
        <f>ROUND($B893*Z$876,2)</f>
        <v>0</v>
      </c>
      <c r="AA893" s="92">
        <f>ROUND($B893*AA$876,2)</f>
        <v>0</v>
      </c>
      <c r="AB893" s="19" t="e">
        <f>SUM(U$876:AA$876)+(-V$876+V879)</f>
        <v>#VALUE!</v>
      </c>
      <c r="AC893" s="105" t="str">
        <f t="shared" si="62"/>
        <v>HL27</v>
      </c>
    </row>
    <row r="894" spans="1:29" x14ac:dyDescent="0.2">
      <c r="A894" s="9"/>
      <c r="B894" s="103">
        <v>-1</v>
      </c>
      <c r="D894" s="32"/>
      <c r="E894" s="103"/>
      <c r="F894" s="36"/>
      <c r="G894" s="92"/>
      <c r="H894" s="19" t="e">
        <f>IF(ISBLANK(B894),0,+#REF!/B894)</f>
        <v>#REF!</v>
      </c>
      <c r="J894" s="109">
        <f t="shared" si="59"/>
        <v>215</v>
      </c>
      <c r="K894" s="92">
        <f t="shared" si="60"/>
        <v>-0.04</v>
      </c>
      <c r="L894" s="92">
        <f>IF(ISBLANK($E894),0,IF($E894&lt;$C$877,ROUND($C$877*$L$876,2),IF($E894&gt;L$877,ROUND(L$877*L$876,2),ROUND($E894*L$876,2))))</f>
        <v>0</v>
      </c>
      <c r="M894" s="92">
        <f>IF($E894&gt;L$877,ROUND(($E894-L$877)*M$876,2),0)</f>
        <v>0</v>
      </c>
      <c r="N894" s="92"/>
      <c r="O894" s="92"/>
      <c r="P894" s="92"/>
      <c r="Q894" s="92"/>
      <c r="R894" s="16" t="e">
        <f>VLOOKUP((D895),'Pwr Factor'!$A$1:$B$52,2)</f>
        <v>#N/A</v>
      </c>
      <c r="S894" s="50">
        <v>0.25</v>
      </c>
      <c r="T894" s="92"/>
      <c r="U894" s="92"/>
      <c r="V894" s="32"/>
      <c r="W894" s="92"/>
      <c r="X894" s="92"/>
      <c r="Y894" s="92"/>
      <c r="Z894" s="92"/>
      <c r="AA894" s="92"/>
      <c r="AB894" s="19"/>
      <c r="AC894" s="105">
        <f t="shared" si="62"/>
        <v>0</v>
      </c>
    </row>
    <row r="895" spans="1:29" x14ac:dyDescent="0.2">
      <c r="A895" s="1" t="s">
        <v>150</v>
      </c>
      <c r="B895" s="103">
        <f>IF(AND('AES Indiana Bill Calc.'!$D$17="HL2",'AES Indiana Bill Calc.'!$D$18="Yes 25%",'AES Indiana Bill Calc.'!$D$20="Yes Before 2018"),'AES Indiana Bill Calc.'!$D$19,-1)</f>
        <v>-1</v>
      </c>
      <c r="C895" s="103">
        <f>MAX(E895,$C$769)</f>
        <v>2000</v>
      </c>
      <c r="D895" s="103" t="b">
        <f>IF(AND('AES Indiana Bill Calc.'!$D$17="HL2",'AES Indiana Bill Calc.'!$D$18="Yes 25%",'AES Indiana Bill Calc.'!$D$20="Yes Before 2018"),'AES Indiana Bill Calc.'!$D$22)</f>
        <v>0</v>
      </c>
      <c r="E895" s="103" t="b">
        <f>IF(AND('AES Indiana Bill Calc.'!$D$17="HL2",'AES Indiana Bill Calc.'!$D$18="Yes 25%",'AES Indiana Bill Calc.'!$D$20="Yes Before 2018"),'AES Indiana Bill Calc.'!$D$21)</f>
        <v>0</v>
      </c>
      <c r="F895" s="36" t="s">
        <v>241</v>
      </c>
      <c r="G895" s="92" t="e">
        <f>SUM(J895:M895,R895:AA895)</f>
        <v>#N/A</v>
      </c>
      <c r="H895" s="19" t="e">
        <f>IF(ISBLANK(B895),0,+#REF!/B895)</f>
        <v>#REF!</v>
      </c>
      <c r="J895" s="109">
        <f t="shared" si="59"/>
        <v>215</v>
      </c>
      <c r="K895" s="92">
        <f t="shared" si="60"/>
        <v>-0.04</v>
      </c>
      <c r="L895" s="17">
        <f>IF(ISBLANK($C895),0,IF($C895&lt;$C$877,ROUND($C$877*$L$876,2),IF($C895&gt;L$877,ROUND(L$877*L$876,2),ROUND($C895*L$876,2))))</f>
        <v>50000</v>
      </c>
      <c r="M895" s="17">
        <f>IF($C895&gt;L$877,ROUND(($C895-L$877)*M$876,2),0)</f>
        <v>0</v>
      </c>
      <c r="N895" s="17">
        <f>K895</f>
        <v>-0.04</v>
      </c>
      <c r="O895" s="92"/>
      <c r="P895" s="92"/>
      <c r="Q895" s="17">
        <f>SUM(L895:M895)</f>
        <v>50000</v>
      </c>
      <c r="R895" s="110" t="e">
        <f>ROUND(SUM(K895:M895)*(R894-1),2)</f>
        <v>#N/A</v>
      </c>
      <c r="S895" s="92">
        <f>ROUND($B895*S$876*S894,2)</f>
        <v>0</v>
      </c>
      <c r="T895" s="92">
        <f>ROUND($B895*T$876,2)</f>
        <v>0</v>
      </c>
      <c r="U895" s="92">
        <f>ROUND($B895*U$876,2)</f>
        <v>0</v>
      </c>
      <c r="V895" s="32">
        <f>ROUND($B895*$V$868,2)</f>
        <v>0</v>
      </c>
      <c r="W895" s="92">
        <f>ROUND($B895*W$876,2)</f>
        <v>0</v>
      </c>
      <c r="X895" s="92">
        <f>ROUND($B895*X$876,2)</f>
        <v>0</v>
      </c>
      <c r="Y895" s="92">
        <f>ROUND($B895*Y$876,2)</f>
        <v>0</v>
      </c>
      <c r="Z895" s="92">
        <f>ROUND($B895*Z$876,2)</f>
        <v>0</v>
      </c>
      <c r="AA895" s="92">
        <f>ROUND($B895*AA$876,2)</f>
        <v>0</v>
      </c>
      <c r="AB895" s="19">
        <f>SUM(U$876:AA$876)+(-V$876+V881)</f>
        <v>-7.6299999999999996E-3</v>
      </c>
      <c r="AC895" s="105" t="str">
        <f t="shared" si="62"/>
        <v>HL27</v>
      </c>
    </row>
    <row r="896" spans="1:29" x14ac:dyDescent="0.2">
      <c r="A896" s="9"/>
      <c r="B896" s="103">
        <v>-1</v>
      </c>
      <c r="D896" s="32"/>
      <c r="E896" s="103"/>
      <c r="F896" s="36"/>
      <c r="G896" s="92"/>
      <c r="H896" s="19" t="e">
        <f>IF(ISBLANK(B896),0,+#REF!/B896)</f>
        <v>#REF!</v>
      </c>
      <c r="J896" s="109">
        <f t="shared" si="59"/>
        <v>215</v>
      </c>
      <c r="K896" s="92">
        <f t="shared" si="60"/>
        <v>-0.04</v>
      </c>
      <c r="L896" s="92">
        <f>IF(ISBLANK($E896),0,IF($E896&lt;$C$877,ROUND($C$877*$L$876,2),IF($E896&gt;L$877,ROUND(L$877*L$876,2),ROUND($E896*L$876,2))))</f>
        <v>0</v>
      </c>
      <c r="M896" s="92">
        <f>IF($E896&gt;L$877,ROUND(($E896-L$877)*M$876,2),0)</f>
        <v>0</v>
      </c>
      <c r="N896" s="92"/>
      <c r="O896" s="92"/>
      <c r="P896" s="92"/>
      <c r="Q896" s="92"/>
      <c r="R896" s="16" t="e">
        <f>VLOOKUP((D897),'Pwr Factor'!$A$1:$B$52,2)</f>
        <v>#N/A</v>
      </c>
      <c r="S896" s="50">
        <v>0.1</v>
      </c>
      <c r="T896" s="92"/>
      <c r="U896" s="92"/>
      <c r="V896" s="32"/>
      <c r="W896" s="92"/>
      <c r="X896" s="92"/>
      <c r="Y896" s="92"/>
      <c r="Z896" s="92"/>
      <c r="AA896" s="92"/>
      <c r="AB896" s="19"/>
      <c r="AC896" s="105">
        <f t="shared" si="62"/>
        <v>0</v>
      </c>
    </row>
    <row r="897" spans="1:252" x14ac:dyDescent="0.2">
      <c r="A897" s="1" t="s">
        <v>164</v>
      </c>
      <c r="B897" s="103">
        <f>IF(AND('AES Indiana Bill Calc.'!$D$17="HL2",'AES Indiana Bill Calc.'!$D$18="Yes 10%",'AES Indiana Bill Calc.'!$D$20="Yes Before 2018"),'AES Indiana Bill Calc.'!$D$19,-1)</f>
        <v>-1</v>
      </c>
      <c r="C897" s="103">
        <f>MAX(E897,$C$769)</f>
        <v>2000</v>
      </c>
      <c r="D897" s="103" t="b">
        <f>IF(AND('AES Indiana Bill Calc.'!$D$17="HL2",'AES Indiana Bill Calc.'!$D$18="Yes 10%",'AES Indiana Bill Calc.'!$D$20="Yes Before 2018"),'AES Indiana Bill Calc.'!$D$22)</f>
        <v>0</v>
      </c>
      <c r="E897" s="103" t="b">
        <f>IF(AND('AES Indiana Bill Calc.'!$D$17="HL2",'AES Indiana Bill Calc.'!$D$18="Yes 10%",'AES Indiana Bill Calc.'!$D$20="Yes Before 2018"),'AES Indiana Bill Calc.'!$D$21)</f>
        <v>0</v>
      </c>
      <c r="F897" s="36" t="s">
        <v>241</v>
      </c>
      <c r="G897" s="92" t="e">
        <f>SUM(J897:M897,R897:AA897)</f>
        <v>#N/A</v>
      </c>
      <c r="H897" s="19" t="e">
        <f>IF(ISBLANK(B897),0,+#REF!/B897)</f>
        <v>#REF!</v>
      </c>
      <c r="J897" s="109">
        <f t="shared" si="59"/>
        <v>215</v>
      </c>
      <c r="K897" s="92">
        <f t="shared" si="60"/>
        <v>-0.04</v>
      </c>
      <c r="L897" s="17">
        <f>IF(ISBLANK($C897),0,IF($C897&lt;$C$877,ROUND($C$877*$L$876,2),IF($C897&gt;L$877,ROUND(L$877*L$876,2),ROUND($C897*L$876,2))))</f>
        <v>50000</v>
      </c>
      <c r="M897" s="17">
        <f>IF($C897&gt;L$877,ROUND(($C897-L$877)*M$876,2),0)</f>
        <v>0</v>
      </c>
      <c r="N897" s="17">
        <f>K897</f>
        <v>-0.04</v>
      </c>
      <c r="O897" s="92"/>
      <c r="P897" s="92"/>
      <c r="Q897" s="17">
        <f>SUM(L897:M897)</f>
        <v>50000</v>
      </c>
      <c r="R897" s="110" t="e">
        <f>ROUND(SUM(K897:M897)*(R896-1),2)</f>
        <v>#N/A</v>
      </c>
      <c r="S897" s="92">
        <f>ROUND($B897*S$876*S896,2)</f>
        <v>0</v>
      </c>
      <c r="T897" s="92">
        <f>ROUND($B897*T$876,2)</f>
        <v>0</v>
      </c>
      <c r="U897" s="92">
        <f>ROUND($B897*U$876,2)</f>
        <v>0</v>
      </c>
      <c r="V897" s="32">
        <f>ROUND($B897*$V$868,2)</f>
        <v>0</v>
      </c>
      <c r="W897" s="92">
        <f>ROUND($B897*W$876,2)</f>
        <v>0</v>
      </c>
      <c r="X897" s="92">
        <f>ROUND($B897*X$876,2)</f>
        <v>0</v>
      </c>
      <c r="Y897" s="92">
        <f>ROUND($B897*Y$876,2)</f>
        <v>0</v>
      </c>
      <c r="Z897" s="92">
        <f>ROUND($B897*Z$876,2)</f>
        <v>0</v>
      </c>
      <c r="AA897" s="92">
        <f>ROUND($B897*AA$876,2)</f>
        <v>0</v>
      </c>
      <c r="AB897" s="19">
        <f>SUM(U$876:AA$876)+(-V$876+V883)</f>
        <v>-7.6299999999999996E-3</v>
      </c>
      <c r="AC897" s="105" t="str">
        <f t="shared" si="62"/>
        <v>HL27</v>
      </c>
    </row>
    <row r="898" spans="1:252" x14ac:dyDescent="0.2">
      <c r="A898" s="9"/>
      <c r="B898" s="103">
        <v>-1</v>
      </c>
      <c r="D898" s="32"/>
      <c r="E898" s="103"/>
      <c r="F898" s="36"/>
      <c r="G898" s="92"/>
      <c r="H898" s="19" t="e">
        <f>IF(ISBLANK(B898),0,+#REF!/B898)</f>
        <v>#REF!</v>
      </c>
      <c r="J898" s="109">
        <f t="shared" si="59"/>
        <v>215</v>
      </c>
      <c r="K898" s="92">
        <f t="shared" si="60"/>
        <v>-0.04</v>
      </c>
      <c r="L898" s="92">
        <f>IF(ISBLANK($E898),0,IF($E898&lt;$C$877,ROUND($C$877*$L$876,2),IF($E898&gt;L$877,ROUND(L$877*L$876,2),ROUND($E898*L$876,2))))</f>
        <v>0</v>
      </c>
      <c r="M898" s="92">
        <f>IF($E898&gt;L$877,ROUND(($E898-L$877)*M$876,2),0)</f>
        <v>0</v>
      </c>
      <c r="N898" s="92"/>
      <c r="O898" s="92"/>
      <c r="P898" s="92"/>
      <c r="Q898" s="92"/>
      <c r="R898" s="16" t="e">
        <f>VLOOKUP((D899),'Pwr Factor'!$A$1:$B$52,2)</f>
        <v>#N/A</v>
      </c>
      <c r="S898" s="50">
        <v>0</v>
      </c>
      <c r="T898" s="92"/>
      <c r="U898" s="92"/>
      <c r="V898" s="32"/>
      <c r="W898" s="92"/>
      <c r="X898" s="92"/>
      <c r="Y898" s="92"/>
      <c r="Z898" s="92"/>
      <c r="AA898" s="92"/>
      <c r="AB898" s="19"/>
      <c r="AC898" s="105">
        <f t="shared" si="62"/>
        <v>0</v>
      </c>
    </row>
    <row r="899" spans="1:252" x14ac:dyDescent="0.2">
      <c r="A899" s="1" t="s">
        <v>147</v>
      </c>
      <c r="B899" s="103">
        <f>IF(AND('AES Indiana Bill Calc.'!$D$17="HL2",'AES Indiana Bill Calc.'!$D$18="No",'AES Indiana Bill Calc.'!$D$20="Yes Before 2018"),'AES Indiana Bill Calc.'!$D$19,-1)</f>
        <v>-1</v>
      </c>
      <c r="C899" s="103">
        <f>MAX(E899,$C$769)</f>
        <v>2000</v>
      </c>
      <c r="D899" s="103" t="b">
        <f>IF(AND('AES Indiana Bill Calc.'!$D$17="HL2",'AES Indiana Bill Calc.'!$D$18="No",'AES Indiana Bill Calc.'!$D$20="Yes Before 2018"),'AES Indiana Bill Calc.'!$D$22)</f>
        <v>0</v>
      </c>
      <c r="E899" s="103" t="b">
        <f>IF(AND('AES Indiana Bill Calc.'!$D$17="HL2",'AES Indiana Bill Calc.'!$D$18="No",'AES Indiana Bill Calc.'!$D$20="Yes Before 2018"),'AES Indiana Bill Calc.'!$D$21)</f>
        <v>0</v>
      </c>
      <c r="F899" s="36" t="s">
        <v>241</v>
      </c>
      <c r="G899" s="92" t="e">
        <f>SUM(J899:M899,R899:AA899)</f>
        <v>#N/A</v>
      </c>
      <c r="H899" s="19" t="e">
        <f>IF(ISBLANK(B899),0,+#REF!/B899)</f>
        <v>#REF!</v>
      </c>
      <c r="J899" s="109">
        <f t="shared" si="59"/>
        <v>215</v>
      </c>
      <c r="K899" s="92">
        <f t="shared" si="60"/>
        <v>-0.04</v>
      </c>
      <c r="L899" s="17">
        <f>IF(ISBLANK($C899),0,IF($C899&lt;$C$877,ROUND($C$877*$L$876,2),IF($C899&gt;L$877,ROUND(L$877*L$876,2),ROUND($C899*L$876,2))))</f>
        <v>50000</v>
      </c>
      <c r="M899" s="17">
        <f>IF($C899&gt;L$877,ROUND(($C899-L$877)*M$876,2),0)</f>
        <v>0</v>
      </c>
      <c r="N899" s="17">
        <f>K899</f>
        <v>-0.04</v>
      </c>
      <c r="O899" s="92"/>
      <c r="P899" s="92"/>
      <c r="Q899" s="17">
        <f>SUM(L899:M899)</f>
        <v>50000</v>
      </c>
      <c r="R899" s="110" t="e">
        <f>ROUND(SUM(K899:M899)*(R898-1),2)</f>
        <v>#N/A</v>
      </c>
      <c r="S899" s="92">
        <f>ROUND($B899*S$876*S898,2)</f>
        <v>0</v>
      </c>
      <c r="T899" s="92">
        <f>ROUND($B899*T$876,2)</f>
        <v>0</v>
      </c>
      <c r="U899" s="92">
        <f>ROUND($B899*U$876,2)</f>
        <v>0</v>
      </c>
      <c r="V899" s="32">
        <f>ROUND($B899*$V$868,2)</f>
        <v>0</v>
      </c>
      <c r="W899" s="92">
        <f>ROUND($B899*W$876,2)</f>
        <v>0</v>
      </c>
      <c r="X899" s="92">
        <f>ROUND($B899*X$876,2)</f>
        <v>0</v>
      </c>
      <c r="Y899" s="92">
        <f>ROUND($B899*Y$876,2)</f>
        <v>0</v>
      </c>
      <c r="Z899" s="92">
        <f>ROUND($B899*Z$876,2)</f>
        <v>0</v>
      </c>
      <c r="AA899" s="92">
        <f>ROUND($B899*AA$876,2)</f>
        <v>0</v>
      </c>
      <c r="AB899" s="19">
        <f>SUM(U$876:AA$876)+(-V$876+V885)</f>
        <v>-7.6299999999999996E-3</v>
      </c>
      <c r="AC899" s="105" t="str">
        <f t="shared" si="62"/>
        <v>HL27</v>
      </c>
    </row>
    <row r="900" spans="1:252" x14ac:dyDescent="0.2">
      <c r="B900" s="103">
        <v>-1</v>
      </c>
      <c r="D900" s="32"/>
      <c r="E900" s="103"/>
      <c r="F900" s="36"/>
      <c r="G900" s="92"/>
      <c r="H900" s="19" t="e">
        <f>IF(ISBLANK(B900),0,+#REF!/B900)</f>
        <v>#REF!</v>
      </c>
      <c r="J900" s="109">
        <f t="shared" si="59"/>
        <v>215</v>
      </c>
      <c r="K900" s="92">
        <f t="shared" si="60"/>
        <v>-0.04</v>
      </c>
      <c r="L900" s="92">
        <f>IF(ISBLANK($E900),0,IF($E900&lt;$C$877,ROUND($C$877*$L$876,2),IF($E900&gt;L$877,ROUND(L$877*L$876,2),ROUND($E900*L$876,2))))</f>
        <v>0</v>
      </c>
      <c r="M900" s="92">
        <f>IF($E900&gt;L$877,ROUND(($E900-L$877)*M$876,2),0)</f>
        <v>0</v>
      </c>
      <c r="N900" s="92"/>
      <c r="O900" s="92"/>
      <c r="P900" s="92"/>
      <c r="Q900" s="92"/>
      <c r="R900" s="16" t="e">
        <f>VLOOKUP((D901),'Pwr Factor'!$A$1:$B$52,2)</f>
        <v>#N/A</v>
      </c>
      <c r="S900" s="50">
        <v>1</v>
      </c>
      <c r="T900" s="92"/>
      <c r="U900" s="92"/>
      <c r="V900" s="32"/>
      <c r="W900" s="92"/>
      <c r="X900" s="92"/>
      <c r="Y900" s="92"/>
      <c r="Z900" s="92"/>
      <c r="AA900" s="92"/>
      <c r="AB900" s="19"/>
      <c r="AC900" s="105">
        <f t="shared" si="62"/>
        <v>0</v>
      </c>
    </row>
    <row r="901" spans="1:252" x14ac:dyDescent="0.2">
      <c r="A901" s="1" t="s">
        <v>148</v>
      </c>
      <c r="B901" s="103">
        <f>IF(AND('AES Indiana Bill Calc.'!$D$17="HL2",'AES Indiana Bill Calc.'!$D$18="Yes 100%",'AES Indiana Bill Calc.'!$D$20="Yes 2018"),'AES Indiana Bill Calc.'!$D$19,-1)</f>
        <v>-1</v>
      </c>
      <c r="C901" s="103">
        <f>MAX(E901,$C$769)</f>
        <v>2000</v>
      </c>
      <c r="D901" s="103" t="b">
        <f>IF(AND('AES Indiana Bill Calc.'!$D$17="HL2",'AES Indiana Bill Calc.'!$D$18="Yes 100%",'AES Indiana Bill Calc.'!$D$20="Yes 2018"),'AES Indiana Bill Calc.'!$D$22)</f>
        <v>0</v>
      </c>
      <c r="E901" s="103" t="b">
        <f>IF(AND('AES Indiana Bill Calc.'!$D$17="HL2",'AES Indiana Bill Calc.'!$D$18="Yes 100%",'AES Indiana Bill Calc.'!$D$20="Yes 2018"),'AES Indiana Bill Calc.'!$D$21)</f>
        <v>0</v>
      </c>
      <c r="F901" s="36" t="s">
        <v>242</v>
      </c>
      <c r="G901" s="92" t="e">
        <f>SUM(J901:M901,R901:AA901)</f>
        <v>#N/A</v>
      </c>
      <c r="H901" s="19" t="e">
        <f>IF(ISBLANK(B901),0,+#REF!/B901)</f>
        <v>#REF!</v>
      </c>
      <c r="J901" s="109">
        <f t="shared" si="59"/>
        <v>215</v>
      </c>
      <c r="K901" s="92">
        <f t="shared" si="60"/>
        <v>-0.04</v>
      </c>
      <c r="L901" s="17">
        <f>IF(ISBLANK($C901),0,IF($C901&lt;$C$877,ROUND($C$877*$L$876,2),IF($C901&gt;L$877,ROUND(L$877*L$876,2),ROUND($C901*L$876,2))))</f>
        <v>50000</v>
      </c>
      <c r="M901" s="17">
        <f>IF($C901&gt;L$877,ROUND(($C901-L$877)*M$876,2),0)</f>
        <v>0</v>
      </c>
      <c r="N901" s="17">
        <f>K901</f>
        <v>-0.04</v>
      </c>
      <c r="O901" s="92"/>
      <c r="P901" s="92"/>
      <c r="Q901" s="17">
        <f>SUM(L901:M901)</f>
        <v>50000</v>
      </c>
      <c r="R901" s="110" t="e">
        <f>ROUND(SUM(K901:M901)*(R900-1),2)</f>
        <v>#N/A</v>
      </c>
      <c r="S901" s="92">
        <f>ROUND($B901*S$876*S900,2)</f>
        <v>0</v>
      </c>
      <c r="T901" s="92">
        <f>ROUND($B901*T$876,2)</f>
        <v>0</v>
      </c>
      <c r="U901" s="92">
        <f>ROUND($B901*U$876,2)</f>
        <v>0</v>
      </c>
      <c r="V901" s="32">
        <f>ROUND($B901*$V$869,2)</f>
        <v>0</v>
      </c>
      <c r="W901" s="92">
        <f>ROUND($B901*W$876,2)</f>
        <v>0</v>
      </c>
      <c r="X901" s="92">
        <f>ROUND($B901*X$876,2)</f>
        <v>0</v>
      </c>
      <c r="Y901" s="92">
        <f>ROUND($B901*Y$876,2)</f>
        <v>0</v>
      </c>
      <c r="Z901" s="92">
        <f>ROUND($B901*Z$876,2)</f>
        <v>0</v>
      </c>
      <c r="AA901" s="92">
        <f>ROUND($B901*AA$876,2)</f>
        <v>0</v>
      </c>
      <c r="AB901" s="19">
        <f>SUM(U$876:AA$876)+(-V$876+V887)</f>
        <v>-7.6299999999999996E-3</v>
      </c>
      <c r="AC901" s="105" t="str">
        <f t="shared" si="62"/>
        <v>HL28</v>
      </c>
    </row>
    <row r="902" spans="1:252" x14ac:dyDescent="0.2">
      <c r="A902" s="9"/>
      <c r="B902" s="103">
        <v>-1</v>
      </c>
      <c r="D902" s="32"/>
      <c r="E902" s="103"/>
      <c r="F902" s="36"/>
      <c r="G902" s="92"/>
      <c r="H902" s="19" t="e">
        <f>IF(ISBLANK(B902),0,+#REF!/B902)</f>
        <v>#REF!</v>
      </c>
      <c r="J902" s="109">
        <f t="shared" si="59"/>
        <v>215</v>
      </c>
      <c r="K902" s="92">
        <f t="shared" si="60"/>
        <v>-0.04</v>
      </c>
      <c r="L902" s="92">
        <f>IF(ISBLANK($E902),0,IF($E902&lt;$C$877,ROUND($C$877*$L$876,2),IF($E902&gt;L$877,ROUND(L$877*L$876,2),ROUND($E902*L$876,2))))</f>
        <v>0</v>
      </c>
      <c r="M902" s="92">
        <f>IF($E902&gt;L$877,ROUND(($E902-L$877)*M$876,2),0)</f>
        <v>0</v>
      </c>
      <c r="N902" s="92"/>
      <c r="O902" s="92"/>
      <c r="P902" s="92"/>
      <c r="Q902" s="92"/>
      <c r="R902" s="16" t="e">
        <f>VLOOKUP((D903),'Pwr Factor'!$A$1:$B$52,2)</f>
        <v>#N/A</v>
      </c>
      <c r="S902" s="50">
        <v>0.5</v>
      </c>
      <c r="T902" s="92"/>
      <c r="U902" s="92"/>
      <c r="V902" s="32"/>
      <c r="W902" s="92"/>
      <c r="X902" s="92"/>
      <c r="Y902" s="92"/>
      <c r="Z902" s="92"/>
      <c r="AA902" s="92"/>
      <c r="AB902" s="19"/>
      <c r="AC902" s="105">
        <f t="shared" si="62"/>
        <v>0</v>
      </c>
    </row>
    <row r="903" spans="1:252" x14ac:dyDescent="0.2">
      <c r="A903" s="1" t="s">
        <v>149</v>
      </c>
      <c r="B903" s="103">
        <f>IF(AND('AES Indiana Bill Calc.'!$D$17="HL2",'AES Indiana Bill Calc.'!$D$18="Yes 50%",'AES Indiana Bill Calc.'!$D$20="Yes 2018"),'AES Indiana Bill Calc.'!$D$19,-1)</f>
        <v>-1</v>
      </c>
      <c r="C903" s="103">
        <f>MAX(E903,$C$769)</f>
        <v>2000</v>
      </c>
      <c r="D903" s="103" t="b">
        <f>IF(AND('AES Indiana Bill Calc.'!$D$17="HL2",'AES Indiana Bill Calc.'!$D$18="Yes 50%",'AES Indiana Bill Calc.'!$D$20="Yes 2018"),'AES Indiana Bill Calc.'!$D$22)</f>
        <v>0</v>
      </c>
      <c r="E903" s="103" t="b">
        <f>IF(AND('AES Indiana Bill Calc.'!$D$17="HL2",'AES Indiana Bill Calc.'!$D$18="Yes 50%",'AES Indiana Bill Calc.'!$D$20="Yes 2018"),'AES Indiana Bill Calc.'!$D$21)</f>
        <v>0</v>
      </c>
      <c r="F903" s="36" t="s">
        <v>242</v>
      </c>
      <c r="G903" s="92" t="e">
        <f>SUM(J903:M903,R903:AA903)</f>
        <v>#N/A</v>
      </c>
      <c r="H903" s="19" t="e">
        <f>IF(ISBLANK(B903),0,+#REF!/B903)</f>
        <v>#REF!</v>
      </c>
      <c r="J903" s="109">
        <f t="shared" si="59"/>
        <v>215</v>
      </c>
      <c r="K903" s="92">
        <f t="shared" si="60"/>
        <v>-0.04</v>
      </c>
      <c r="L903" s="17">
        <f>IF(ISBLANK($C903),0,IF($C903&lt;$C$877,ROUND($C$877*$L$876,2),IF($C903&gt;L$877,ROUND(L$877*L$876,2),ROUND($C903*L$876,2))))</f>
        <v>50000</v>
      </c>
      <c r="M903" s="17">
        <f>IF($C903&gt;L$877,ROUND(($C903-L$877)*M$876,2),0)</f>
        <v>0</v>
      </c>
      <c r="N903" s="17">
        <f>K903</f>
        <v>-0.04</v>
      </c>
      <c r="O903" s="92"/>
      <c r="P903" s="92"/>
      <c r="Q903" s="17">
        <f>SUM(L903:M903)</f>
        <v>50000</v>
      </c>
      <c r="R903" s="110" t="e">
        <f>ROUND(SUM(K903:M903)*(R902-1),2)</f>
        <v>#N/A</v>
      </c>
      <c r="S903" s="92">
        <f>ROUND($B903*S$876*S902,2)</f>
        <v>0</v>
      </c>
      <c r="T903" s="92">
        <f>ROUND($B903*T$876,2)</f>
        <v>0</v>
      </c>
      <c r="U903" s="92">
        <f>ROUND($B903*U$876,2)</f>
        <v>0</v>
      </c>
      <c r="V903" s="32">
        <f>ROUND($B903*$V$869,2)</f>
        <v>0</v>
      </c>
      <c r="W903" s="92">
        <f>ROUND($B903*W$876,2)</f>
        <v>0</v>
      </c>
      <c r="X903" s="92">
        <f>ROUND($B903*X$876,2)</f>
        <v>0</v>
      </c>
      <c r="Y903" s="92">
        <f>ROUND($B903*Y$876,2)</f>
        <v>0</v>
      </c>
      <c r="Z903" s="92">
        <f>ROUND($B903*Z$876,2)</f>
        <v>0</v>
      </c>
      <c r="AA903" s="92">
        <f>ROUND($B903*AA$876,2)</f>
        <v>0</v>
      </c>
      <c r="AB903" s="19">
        <f>SUM(U$876:AA$876)+(-V$876+V889)</f>
        <v>-7.6299999999999996E-3</v>
      </c>
      <c r="AC903" s="105" t="str">
        <f t="shared" si="62"/>
        <v>HL28</v>
      </c>
    </row>
    <row r="904" spans="1:252" x14ac:dyDescent="0.2">
      <c r="A904" s="9"/>
      <c r="B904" s="103">
        <v>-1</v>
      </c>
      <c r="D904" s="32"/>
      <c r="E904" s="103"/>
      <c r="F904" s="36"/>
      <c r="G904" s="92"/>
      <c r="H904" s="19" t="e">
        <f>IF(ISBLANK(B904),0,+#REF!/B904)</f>
        <v>#REF!</v>
      </c>
      <c r="J904" s="109">
        <f t="shared" si="59"/>
        <v>215</v>
      </c>
      <c r="K904" s="92">
        <f t="shared" si="60"/>
        <v>-0.04</v>
      </c>
      <c r="L904" s="92">
        <f>IF(ISBLANK($E904),0,IF($E904&lt;$C$877,ROUND($C$877*$L$876,2),IF($E904&gt;L$877,ROUND(L$877*L$876,2),ROUND($E904*L$876,2))))</f>
        <v>0</v>
      </c>
      <c r="M904" s="92">
        <f>IF($E904&gt;L$877,ROUND(($E904-L$877)*M$876,2),0)</f>
        <v>0</v>
      </c>
      <c r="N904" s="92"/>
      <c r="O904" s="92"/>
      <c r="P904" s="92"/>
      <c r="Q904" s="92"/>
      <c r="R904" s="16" t="e">
        <f>VLOOKUP((D905),'Pwr Factor'!$A$1:$B$52,2)</f>
        <v>#N/A</v>
      </c>
      <c r="S904" s="50">
        <v>0.25</v>
      </c>
      <c r="T904" s="92"/>
      <c r="U904" s="92"/>
      <c r="V904" s="32"/>
      <c r="W904" s="92"/>
      <c r="X904" s="92"/>
      <c r="Y904" s="92"/>
      <c r="Z904" s="92"/>
      <c r="AA904" s="92"/>
      <c r="AB904" s="19"/>
      <c r="AC904" s="105">
        <f t="shared" si="62"/>
        <v>0</v>
      </c>
    </row>
    <row r="905" spans="1:252" x14ac:dyDescent="0.2">
      <c r="A905" s="1" t="s">
        <v>150</v>
      </c>
      <c r="B905" s="103">
        <f>IF(AND('AES Indiana Bill Calc.'!$D$17="HL2",'AES Indiana Bill Calc.'!$D$18="Yes 25%",'AES Indiana Bill Calc.'!$D$20="Yes 2018"),'AES Indiana Bill Calc.'!$D$19,-1)</f>
        <v>-1</v>
      </c>
      <c r="C905" s="103">
        <f>MAX(E905,$C$769)</f>
        <v>2000</v>
      </c>
      <c r="D905" s="103" t="b">
        <f>IF(AND('AES Indiana Bill Calc.'!$D$17="HL2",'AES Indiana Bill Calc.'!$D$18="Yes 25%",'AES Indiana Bill Calc.'!$D$20="Yes 2018"),'AES Indiana Bill Calc.'!$D$22)</f>
        <v>0</v>
      </c>
      <c r="E905" s="103" t="b">
        <f>IF(AND('AES Indiana Bill Calc.'!$D$17="HL2",'AES Indiana Bill Calc.'!$D$18="Yes 25%",'AES Indiana Bill Calc.'!$D$20="Yes 2018"),'AES Indiana Bill Calc.'!$D$21)</f>
        <v>0</v>
      </c>
      <c r="F905" s="36" t="s">
        <v>242</v>
      </c>
      <c r="G905" s="92" t="e">
        <f>SUM(J905:M905,R905:AA905)</f>
        <v>#N/A</v>
      </c>
      <c r="H905" s="19" t="e">
        <f>IF(ISBLANK(B905),0,+#REF!/B905)</f>
        <v>#REF!</v>
      </c>
      <c r="J905" s="109">
        <f t="shared" si="59"/>
        <v>215</v>
      </c>
      <c r="K905" s="92">
        <f t="shared" si="60"/>
        <v>-0.04</v>
      </c>
      <c r="L905" s="17">
        <f>IF(ISBLANK($C905),0,IF($C905&lt;$C$877,ROUND($C$877*$L$876,2),IF($C905&gt;L$877,ROUND(L$877*L$876,2),ROUND($C905*L$876,2))))</f>
        <v>50000</v>
      </c>
      <c r="M905" s="17">
        <f>IF($C905&gt;L$877,ROUND(($C905-L$877)*M$876,2),0)</f>
        <v>0</v>
      </c>
      <c r="N905" s="17">
        <f>K905</f>
        <v>-0.04</v>
      </c>
      <c r="O905" s="92"/>
      <c r="P905" s="92"/>
      <c r="Q905" s="17">
        <f>SUM(L905:M905)</f>
        <v>50000</v>
      </c>
      <c r="R905" s="110" t="e">
        <f>ROUND(SUM(K905:M905)*(R904-1),2)</f>
        <v>#N/A</v>
      </c>
      <c r="S905" s="92">
        <f>ROUND($B905*S$876*S904,2)</f>
        <v>0</v>
      </c>
      <c r="T905" s="92">
        <f>ROUND($B905*T$876,2)</f>
        <v>0</v>
      </c>
      <c r="U905" s="92">
        <f>ROUND($B905*U$876,2)</f>
        <v>0</v>
      </c>
      <c r="V905" s="32">
        <f>ROUND($B905*$V$869,2)</f>
        <v>0</v>
      </c>
      <c r="W905" s="92">
        <f>ROUND($B905*W$876,2)</f>
        <v>0</v>
      </c>
      <c r="X905" s="92">
        <f>ROUND($B905*X$876,2)</f>
        <v>0</v>
      </c>
      <c r="Y905" s="92">
        <f>ROUND($B905*Y$876,2)</f>
        <v>0</v>
      </c>
      <c r="Z905" s="92">
        <f>ROUND($B905*Z$876,2)</f>
        <v>0</v>
      </c>
      <c r="AA905" s="92">
        <f>ROUND($B905*AA$876,2)</f>
        <v>0</v>
      </c>
      <c r="AB905" s="19">
        <f>SUM(U$876:AA$876)+(-V$876+V891)</f>
        <v>2.3699999999999997E-3</v>
      </c>
      <c r="AC905" s="105" t="str">
        <f t="shared" si="62"/>
        <v>HL28</v>
      </c>
    </row>
    <row r="906" spans="1:252" x14ac:dyDescent="0.2">
      <c r="A906" s="9"/>
      <c r="B906" s="103">
        <v>-1</v>
      </c>
      <c r="D906" s="32"/>
      <c r="E906" s="103"/>
      <c r="F906" s="36"/>
      <c r="G906" s="92"/>
      <c r="H906" s="19" t="e">
        <f>IF(ISBLANK(B906),0,+#REF!/B906)</f>
        <v>#REF!</v>
      </c>
      <c r="J906" s="109">
        <f t="shared" si="59"/>
        <v>215</v>
      </c>
      <c r="K906" s="92">
        <f t="shared" si="60"/>
        <v>-0.04</v>
      </c>
      <c r="L906" s="92">
        <f>IF(ISBLANK($E906),0,IF($E906&lt;$C$877,ROUND($C$877*$L$876,2),IF($E906&gt;L$877,ROUND(L$877*L$876,2),ROUND($E906*L$876,2))))</f>
        <v>0</v>
      </c>
      <c r="M906" s="92">
        <f>IF($E906&gt;L$877,ROUND(($E906-L$877)*M$876,2),0)</f>
        <v>0</v>
      </c>
      <c r="N906" s="92"/>
      <c r="O906" s="92"/>
      <c r="P906" s="92"/>
      <c r="Q906" s="92"/>
      <c r="R906" s="16" t="e">
        <f>VLOOKUP((D907),'Pwr Factor'!$A$1:$B$52,2)</f>
        <v>#N/A</v>
      </c>
      <c r="S906" s="50">
        <v>0.1</v>
      </c>
      <c r="T906" s="92"/>
      <c r="U906" s="92"/>
      <c r="V906" s="32"/>
      <c r="W906" s="92"/>
      <c r="X906" s="92"/>
      <c r="Y906" s="92"/>
      <c r="Z906" s="92"/>
      <c r="AA906" s="92"/>
      <c r="AB906" s="19"/>
      <c r="AC906" s="105">
        <f t="shared" si="62"/>
        <v>0</v>
      </c>
    </row>
    <row r="907" spans="1:252" x14ac:dyDescent="0.2">
      <c r="A907" s="1" t="s">
        <v>164</v>
      </c>
      <c r="B907" s="103">
        <f>IF(AND('AES Indiana Bill Calc.'!$D$17="HL2",'AES Indiana Bill Calc.'!$D$18="Yes 10%",'AES Indiana Bill Calc.'!$D$20="Yes 2018"),'AES Indiana Bill Calc.'!$D$19,-1)</f>
        <v>-1</v>
      </c>
      <c r="C907" s="103">
        <f>MAX(E907,$C$769)</f>
        <v>2000</v>
      </c>
      <c r="D907" s="103" t="b">
        <f>IF(AND('AES Indiana Bill Calc.'!$D$17="HL2",'AES Indiana Bill Calc.'!$D$18="Yes 10%",'AES Indiana Bill Calc.'!$D$20="Yes 2018"),'AES Indiana Bill Calc.'!$D$22)</f>
        <v>0</v>
      </c>
      <c r="E907" s="103" t="b">
        <f>IF(AND('AES Indiana Bill Calc.'!$D$17="HL2",'AES Indiana Bill Calc.'!$D$18="Yes 10%",'AES Indiana Bill Calc.'!$D$20="Yes 2018"),'AES Indiana Bill Calc.'!$D$21)</f>
        <v>0</v>
      </c>
      <c r="F907" s="36" t="s">
        <v>242</v>
      </c>
      <c r="G907" s="92" t="e">
        <f>SUM(J907:M907,R907:AA907)</f>
        <v>#N/A</v>
      </c>
      <c r="H907" s="19" t="e">
        <f>IF(ISBLANK(B907),0,+#REF!/B907)</f>
        <v>#REF!</v>
      </c>
      <c r="J907" s="109">
        <f t="shared" si="59"/>
        <v>215</v>
      </c>
      <c r="K907" s="92">
        <f t="shared" si="60"/>
        <v>-0.04</v>
      </c>
      <c r="L907" s="17">
        <f>IF(ISBLANK($C907),0,IF($C907&lt;$C$877,ROUND($C$877*$L$876,2),IF($C907&gt;L$877,ROUND(L$877*L$876,2),ROUND($C907*L$876,2))))</f>
        <v>50000</v>
      </c>
      <c r="M907" s="17">
        <f>IF($C907&gt;L$877,ROUND(($C907-L$877)*M$876,2),0)</f>
        <v>0</v>
      </c>
      <c r="N907" s="17">
        <f>K907</f>
        <v>-0.04</v>
      </c>
      <c r="O907" s="92"/>
      <c r="P907" s="92"/>
      <c r="Q907" s="17">
        <f>SUM(L907:M907)</f>
        <v>50000</v>
      </c>
      <c r="R907" s="110" t="e">
        <f>ROUND(SUM(K907:M907)*(R906-1),2)</f>
        <v>#N/A</v>
      </c>
      <c r="S907" s="92">
        <f>ROUND($B907*S$876*S906,2)</f>
        <v>0</v>
      </c>
      <c r="T907" s="92">
        <f>ROUND($B907*T$876,2)</f>
        <v>0</v>
      </c>
      <c r="U907" s="92">
        <f>ROUND($B907*U$876,2)</f>
        <v>0</v>
      </c>
      <c r="V907" s="32">
        <f>ROUND($B907*$V$869,2)</f>
        <v>0</v>
      </c>
      <c r="W907" s="92">
        <f>ROUND($B907*W$876,2)</f>
        <v>0</v>
      </c>
      <c r="X907" s="92">
        <f>ROUND($B907*X$876,2)</f>
        <v>0</v>
      </c>
      <c r="Y907" s="92">
        <f>ROUND($B907*Y$876,2)</f>
        <v>0</v>
      </c>
      <c r="Z907" s="92">
        <f>ROUND($B907*Z$876,2)</f>
        <v>0</v>
      </c>
      <c r="AA907" s="92">
        <f>ROUND($B907*AA$876,2)</f>
        <v>0</v>
      </c>
      <c r="AB907" s="19">
        <f>SUM(U$876:AA$876)+(-V$876+V893)</f>
        <v>2.3699999999999997E-3</v>
      </c>
      <c r="AC907" s="105" t="str">
        <f t="shared" si="62"/>
        <v>HL28</v>
      </c>
    </row>
    <row r="908" spans="1:252" x14ac:dyDescent="0.2">
      <c r="A908" s="9"/>
      <c r="B908" s="103">
        <v>-1</v>
      </c>
      <c r="D908" s="32"/>
      <c r="E908" s="103"/>
      <c r="F908" s="36"/>
      <c r="G908" s="92"/>
      <c r="H908" s="19" t="e">
        <f>IF(ISBLANK(B908),0,+#REF!/B908)</f>
        <v>#REF!</v>
      </c>
      <c r="J908" s="109">
        <f t="shared" si="59"/>
        <v>215</v>
      </c>
      <c r="K908" s="92">
        <f t="shared" si="60"/>
        <v>-0.04</v>
      </c>
      <c r="L908" s="92">
        <f>IF(ISBLANK($E908),0,IF($E908&lt;$C$877,ROUND($C$877*$L$876,2),IF($E908&gt;L$877,ROUND(L$877*L$876,2),ROUND($E908*L$876,2))))</f>
        <v>0</v>
      </c>
      <c r="M908" s="92">
        <f>IF($E908&gt;L$877,ROUND(($E908-L$877)*M$876,2),0)</f>
        <v>0</v>
      </c>
      <c r="N908" s="92"/>
      <c r="O908" s="92"/>
      <c r="P908" s="92"/>
      <c r="Q908" s="92"/>
      <c r="R908" s="16" t="e">
        <f>VLOOKUP((D909),'Pwr Factor'!$A$1:$B$52,2)</f>
        <v>#N/A</v>
      </c>
      <c r="S908" s="50">
        <v>0</v>
      </c>
      <c r="T908" s="92"/>
      <c r="U908" s="92"/>
      <c r="V908" s="32"/>
      <c r="W908" s="92"/>
      <c r="X908" s="92"/>
      <c r="Y908" s="92"/>
      <c r="Z908" s="92"/>
      <c r="AA908" s="92"/>
      <c r="AB908" s="19"/>
      <c r="AC908" s="105">
        <f t="shared" si="62"/>
        <v>0</v>
      </c>
    </row>
    <row r="909" spans="1:252" x14ac:dyDescent="0.2">
      <c r="A909" s="1" t="s">
        <v>147</v>
      </c>
      <c r="B909" s="103">
        <f>IF(AND('AES Indiana Bill Calc.'!$D$17="HL2",'AES Indiana Bill Calc.'!$D$18="No",'AES Indiana Bill Calc.'!$D$20="Yes 2018"),'AES Indiana Bill Calc.'!$D$19,-1)</f>
        <v>-1</v>
      </c>
      <c r="C909" s="103">
        <f>MAX(E909,$C$769)</f>
        <v>2000</v>
      </c>
      <c r="D909" s="103" t="b">
        <f>IF(AND('AES Indiana Bill Calc.'!$D$17="HL2",'AES Indiana Bill Calc.'!$D$18="No",'AES Indiana Bill Calc.'!$D$20="Yes 2018"),'AES Indiana Bill Calc.'!$D$22)</f>
        <v>0</v>
      </c>
      <c r="E909" s="103" t="b">
        <f>IF(AND('AES Indiana Bill Calc.'!$D$17="HL2",'AES Indiana Bill Calc.'!$D$18="No",'AES Indiana Bill Calc.'!$D$20="Yes 2018"),'AES Indiana Bill Calc.'!$D$21)</f>
        <v>0</v>
      </c>
      <c r="F909" s="36" t="s">
        <v>242</v>
      </c>
      <c r="G909" s="92" t="e">
        <f>SUM(J909:M909,R909:AA909)</f>
        <v>#N/A</v>
      </c>
      <c r="H909" s="19" t="e">
        <f>IF(ISBLANK(B909),0,+#REF!/B909)</f>
        <v>#REF!</v>
      </c>
      <c r="J909" s="109">
        <f t="shared" si="59"/>
        <v>215</v>
      </c>
      <c r="K909" s="92">
        <f t="shared" si="60"/>
        <v>-0.04</v>
      </c>
      <c r="L909" s="17">
        <f>IF(ISBLANK($C909),0,IF($C909&lt;$C$877,ROUND($C$877*$L$876,2),IF($C909&gt;L$877,ROUND(L$877*L$876,2),ROUND($C909*L$876,2))))</f>
        <v>50000</v>
      </c>
      <c r="M909" s="17">
        <f>IF($C909&gt;L$877,ROUND(($C909-L$877)*M$876,2),0)</f>
        <v>0</v>
      </c>
      <c r="N909" s="17">
        <f>K909</f>
        <v>-0.04</v>
      </c>
      <c r="O909" s="92"/>
      <c r="P909" s="92"/>
      <c r="Q909" s="17">
        <f>SUM(L909:M909)</f>
        <v>50000</v>
      </c>
      <c r="R909" s="110" t="e">
        <f>ROUND(SUM(K909:M909)*(R908-1),2)</f>
        <v>#N/A</v>
      </c>
      <c r="S909" s="92">
        <f>ROUND($B909*S$876*S908,2)</f>
        <v>0</v>
      </c>
      <c r="T909" s="92">
        <f>ROUND($B909*T$876,2)</f>
        <v>0</v>
      </c>
      <c r="U909" s="92">
        <f>ROUND($B909*U$876,2)</f>
        <v>0</v>
      </c>
      <c r="V909" s="32">
        <f>ROUND($B909*$V$869,2)</f>
        <v>0</v>
      </c>
      <c r="W909" s="92">
        <f>ROUND($B909*W$876,2)</f>
        <v>0</v>
      </c>
      <c r="X909" s="92">
        <f>ROUND($B909*X$876,2)</f>
        <v>0</v>
      </c>
      <c r="Y909" s="92">
        <f>ROUND($B909*Y$876,2)</f>
        <v>0</v>
      </c>
      <c r="Z909" s="92">
        <f>ROUND($B909*Z$876,2)</f>
        <v>0</v>
      </c>
      <c r="AA909" s="92">
        <f>ROUND($B909*AA$876,2)</f>
        <v>0</v>
      </c>
      <c r="AB909" s="19">
        <f>SUM(U$876:AA$876)+(-V$876+V895)</f>
        <v>2.3699999999999997E-3</v>
      </c>
      <c r="AC909" s="105" t="str">
        <f t="shared" si="62"/>
        <v>HL28</v>
      </c>
    </row>
    <row r="910" spans="1:252" x14ac:dyDescent="0.2">
      <c r="B910" s="103">
        <v>-1</v>
      </c>
      <c r="D910" s="32"/>
      <c r="E910" s="103"/>
      <c r="F910" s="36"/>
      <c r="G910" s="92"/>
      <c r="H910" s="19" t="e">
        <f>IF(ISBLANK(B910),0,+#REF!/B910)</f>
        <v>#REF!</v>
      </c>
      <c r="J910" s="109">
        <f t="shared" si="59"/>
        <v>215</v>
      </c>
      <c r="K910" s="92">
        <f t="shared" si="60"/>
        <v>-0.04</v>
      </c>
      <c r="L910" s="92">
        <f>IF(ISBLANK($E910),0,IF($E910&lt;$C$877,ROUND($C$877*$L$876,2),IF($E910&gt;L$877,ROUND(L$877*L$876,2),ROUND($E910*L$876,2))))</f>
        <v>0</v>
      </c>
      <c r="M910" s="92">
        <f>IF($E910&gt;L$877,ROUND(($E910-L$877)*M$876,2),0)</f>
        <v>0</v>
      </c>
      <c r="N910" s="92"/>
      <c r="O910" s="92"/>
      <c r="P910" s="92"/>
      <c r="Q910" s="92"/>
      <c r="R910" s="16" t="e">
        <f>VLOOKUP((D911),'Pwr Factor'!$A$1:$B$52,2)</f>
        <v>#N/A</v>
      </c>
      <c r="S910" s="50">
        <v>1</v>
      </c>
      <c r="T910" s="92"/>
      <c r="U910" s="92"/>
      <c r="V910" s="32"/>
      <c r="W910" s="92"/>
      <c r="X910" s="92"/>
      <c r="Y910" s="92"/>
      <c r="Z910" s="92"/>
      <c r="AA910" s="92"/>
      <c r="AB910" s="19"/>
      <c r="AC910" s="105">
        <f t="shared" si="62"/>
        <v>0</v>
      </c>
    </row>
    <row r="911" spans="1:252" s="21" customFormat="1" ht="13.5" thickBot="1" x14ac:dyDescent="0.25">
      <c r="A911" s="1" t="s">
        <v>148</v>
      </c>
      <c r="B911" s="103">
        <f>IF(AND('AES Indiana Bill Calc.'!$D$17="HL2",'AES Indiana Bill Calc.'!$D$18="Yes 100%",'AES Indiana Bill Calc.'!$D$20="Yes 2019"),'AES Indiana Bill Calc.'!$D$19,-1)</f>
        <v>-1</v>
      </c>
      <c r="C911" s="103">
        <f>MAX(E911,$C$769)</f>
        <v>2000</v>
      </c>
      <c r="D911" s="103" t="b">
        <f>IF(AND('AES Indiana Bill Calc.'!$D$17="HL2",'AES Indiana Bill Calc.'!$D$18="Yes 100%",'AES Indiana Bill Calc.'!$D$20="Yes 2019"),'AES Indiana Bill Calc.'!$D$22)</f>
        <v>0</v>
      </c>
      <c r="E911" s="103" t="b">
        <f>IF(AND('AES Indiana Bill Calc.'!$D$17="HL2",'AES Indiana Bill Calc.'!$D$18="Yes 100%",'AES Indiana Bill Calc.'!$D$20="Yes 2019"),'AES Indiana Bill Calc.'!$D$21)</f>
        <v>0</v>
      </c>
      <c r="F911" s="36" t="s">
        <v>243</v>
      </c>
      <c r="G911" s="92" t="e">
        <f>SUM(J911:M911,R911:AA911)</f>
        <v>#N/A</v>
      </c>
      <c r="H911" s="19" t="e">
        <f>IF(ISBLANK(B911),0,+#REF!/B911)</f>
        <v>#REF!</v>
      </c>
      <c r="I911"/>
      <c r="J911" s="109">
        <f t="shared" si="59"/>
        <v>215</v>
      </c>
      <c r="K911" s="92">
        <f t="shared" si="60"/>
        <v>-0.04</v>
      </c>
      <c r="L911" s="17">
        <f>IF(ISBLANK($C911),0,IF($C911&lt;$C$877,ROUND($C$877*$L$876,2),IF($C911&gt;L$877,ROUND(L$877*L$876,2),ROUND($C911*L$876,2))))</f>
        <v>50000</v>
      </c>
      <c r="M911" s="17">
        <f>IF($C911&gt;L$877,ROUND(($C911-L$877)*M$876,2),0)</f>
        <v>0</v>
      </c>
      <c r="N911" s="17">
        <f>K911</f>
        <v>-0.04</v>
      </c>
      <c r="O911" s="92"/>
      <c r="P911" s="92"/>
      <c r="Q911" s="17">
        <f>SUM(L911:M911)</f>
        <v>50000</v>
      </c>
      <c r="R911" s="110" t="e">
        <f>ROUND(SUM(K911:M911)*(R910-1),2)</f>
        <v>#N/A</v>
      </c>
      <c r="S911" s="92">
        <f>ROUND($B911*S$876*S910,2)</f>
        <v>0</v>
      </c>
      <c r="T911" s="92">
        <f>ROUND($B911*T$876,2)</f>
        <v>0</v>
      </c>
      <c r="U911" s="92">
        <f>ROUND($B911*U$876,2)</f>
        <v>0</v>
      </c>
      <c r="V911" s="32">
        <f>ROUND($B911*$V$870,2)</f>
        <v>0</v>
      </c>
      <c r="W911" s="92">
        <f>ROUND($B911*W$876,2)</f>
        <v>0</v>
      </c>
      <c r="X911" s="92">
        <f>ROUND($B911*X$876,2)</f>
        <v>0</v>
      </c>
      <c r="Y911" s="92">
        <f>ROUND($B911*Y$876,2)</f>
        <v>0</v>
      </c>
      <c r="Z911" s="92">
        <f>ROUND($B911*Z$876,2)</f>
        <v>0</v>
      </c>
      <c r="AA911" s="92">
        <f>ROUND($B911*AA$876,2)</f>
        <v>0</v>
      </c>
      <c r="AB911" s="19">
        <f>SUM(U$876:AA$876)+(-V$876+V897)</f>
        <v>2.3699999999999997E-3</v>
      </c>
      <c r="AC911" s="105" t="str">
        <f t="shared" si="62"/>
        <v>HL29</v>
      </c>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row>
    <row r="912" spans="1:252" x14ac:dyDescent="0.2">
      <c r="A912" s="9"/>
      <c r="B912" s="103">
        <v>-1</v>
      </c>
      <c r="D912" s="32"/>
      <c r="E912" s="103"/>
      <c r="F912" s="36"/>
      <c r="G912" s="92"/>
      <c r="H912" s="19" t="e">
        <f>IF(ISBLANK(B912),0,+#REF!/B912)</f>
        <v>#REF!</v>
      </c>
      <c r="J912" s="109">
        <f t="shared" si="59"/>
        <v>215</v>
      </c>
      <c r="K912" s="92">
        <f t="shared" si="60"/>
        <v>-0.04</v>
      </c>
      <c r="L912" s="92">
        <f>IF(ISBLANK($E912),0,IF($E912&lt;$C$877,ROUND($C$877*$L$876,2),IF($E912&gt;L$877,ROUND(L$877*L$876,2),ROUND($E912*L$876,2))))</f>
        <v>0</v>
      </c>
      <c r="M912" s="92">
        <f>IF($E912&gt;L$877,ROUND(($E912-L$877)*M$876,2),0)</f>
        <v>0</v>
      </c>
      <c r="N912" s="92"/>
      <c r="O912" s="92"/>
      <c r="P912" s="92"/>
      <c r="Q912" s="92"/>
      <c r="R912" s="16" t="e">
        <f>VLOOKUP((D913),'Pwr Factor'!$A$1:$B$52,2)</f>
        <v>#N/A</v>
      </c>
      <c r="S912" s="50">
        <v>0.5</v>
      </c>
      <c r="T912" s="92"/>
      <c r="U912" s="92"/>
      <c r="V912" s="32"/>
      <c r="W912" s="92"/>
      <c r="X912" s="92"/>
      <c r="Y912" s="92"/>
      <c r="Z912" s="92"/>
      <c r="AA912" s="92"/>
      <c r="AB912" s="19"/>
      <c r="AC912" s="105">
        <f t="shared" si="62"/>
        <v>0</v>
      </c>
    </row>
    <row r="913" spans="1:29" x14ac:dyDescent="0.2">
      <c r="A913" s="1" t="s">
        <v>149</v>
      </c>
      <c r="B913" s="103">
        <f>IF(AND('AES Indiana Bill Calc.'!$D$17="HL2",'AES Indiana Bill Calc.'!$D$18="Yes 50%",'AES Indiana Bill Calc.'!$D$20="Yes 2019"),'AES Indiana Bill Calc.'!$D$19,-1)</f>
        <v>-1</v>
      </c>
      <c r="C913" s="103">
        <f>MAX(E913,$C$769)</f>
        <v>2000</v>
      </c>
      <c r="D913" s="103" t="b">
        <f>IF(AND('AES Indiana Bill Calc.'!$D$17="HL2",'AES Indiana Bill Calc.'!$D$18="Yes 50%",'AES Indiana Bill Calc.'!$D$20="Yes 2019"),'AES Indiana Bill Calc.'!$D$22)</f>
        <v>0</v>
      </c>
      <c r="E913" s="103" t="b">
        <f>IF(AND('AES Indiana Bill Calc.'!$D$17="HL2",'AES Indiana Bill Calc.'!$D$18="Yes 50%",'AES Indiana Bill Calc.'!$D$20="Yes 2019"),'AES Indiana Bill Calc.'!$D$21)</f>
        <v>0</v>
      </c>
      <c r="F913" s="36" t="s">
        <v>243</v>
      </c>
      <c r="G913" s="92" t="e">
        <f>SUM(J913:M913,R913:AA913)</f>
        <v>#N/A</v>
      </c>
      <c r="H913" s="19" t="e">
        <f>IF(ISBLANK(B913),0,+#REF!/B913)</f>
        <v>#REF!</v>
      </c>
      <c r="J913" s="109">
        <f t="shared" si="59"/>
        <v>215</v>
      </c>
      <c r="K913" s="92">
        <f t="shared" si="60"/>
        <v>-0.04</v>
      </c>
      <c r="L913" s="17">
        <f>IF(ISBLANK($C913),0,IF($C913&lt;$C$877,ROUND($C$877*$L$876,2),IF($C913&gt;L$877,ROUND(L$877*L$876,2),ROUND($C913*L$876,2))))</f>
        <v>50000</v>
      </c>
      <c r="M913" s="17">
        <f>IF($C913&gt;L$877,ROUND(($C913-L$877)*M$876,2),0)</f>
        <v>0</v>
      </c>
      <c r="N913" s="17">
        <f>K913</f>
        <v>-0.04</v>
      </c>
      <c r="O913" s="92"/>
      <c r="P913" s="92"/>
      <c r="Q913" s="17">
        <f>SUM(L913:M913)</f>
        <v>50000</v>
      </c>
      <c r="R913" s="110" t="e">
        <f>ROUND(SUM(K913:M913)*(R912-1),2)</f>
        <v>#N/A</v>
      </c>
      <c r="S913" s="92">
        <f>ROUND($B913*S$876*S912,2)</f>
        <v>0</v>
      </c>
      <c r="T913" s="92">
        <f>ROUND($B913*T$876,2)</f>
        <v>0</v>
      </c>
      <c r="U913" s="92">
        <f>ROUND($B913*U$876,2)</f>
        <v>0</v>
      </c>
      <c r="V913" s="32">
        <f>ROUND($B913*$V$870,2)</f>
        <v>0</v>
      </c>
      <c r="W913" s="92">
        <f>ROUND($B913*W$876,2)</f>
        <v>0</v>
      </c>
      <c r="X913" s="92">
        <f>ROUND($B913*X$876,2)</f>
        <v>0</v>
      </c>
      <c r="Y913" s="92">
        <f>ROUND($B913*Y$876,2)</f>
        <v>0</v>
      </c>
      <c r="Z913" s="92">
        <f>ROUND($B913*Z$876,2)</f>
        <v>0</v>
      </c>
      <c r="AA913" s="92">
        <f>ROUND($B913*AA$876,2)</f>
        <v>0</v>
      </c>
      <c r="AB913" s="19">
        <f>SUM(U$876:AA$876)+(-V$876+V899)</f>
        <v>2.3699999999999997E-3</v>
      </c>
      <c r="AC913" s="105" t="str">
        <f t="shared" si="62"/>
        <v>HL29</v>
      </c>
    </row>
    <row r="914" spans="1:29" x14ac:dyDescent="0.2">
      <c r="A914" s="9"/>
      <c r="B914" s="103">
        <v>-1</v>
      </c>
      <c r="D914" s="32"/>
      <c r="E914" s="103"/>
      <c r="F914" s="36"/>
      <c r="G914" s="92"/>
      <c r="H914" s="19" t="e">
        <f>IF(ISBLANK(B914),0,+#REF!/B914)</f>
        <v>#REF!</v>
      </c>
      <c r="J914" s="109">
        <f t="shared" si="59"/>
        <v>215</v>
      </c>
      <c r="K914" s="92">
        <f t="shared" si="60"/>
        <v>-0.04</v>
      </c>
      <c r="L914" s="92">
        <f>IF(ISBLANK($E914),0,IF($E914&lt;$C$877,ROUND($C$877*$L$876,2),IF($E914&gt;L$877,ROUND(L$877*L$876,2),ROUND($E914*L$876,2))))</f>
        <v>0</v>
      </c>
      <c r="M914" s="92">
        <f>IF($E914&gt;L$877,ROUND(($E914-L$877)*M$876,2),0)</f>
        <v>0</v>
      </c>
      <c r="N914" s="92"/>
      <c r="O914" s="92"/>
      <c r="P914" s="92"/>
      <c r="Q914" s="92"/>
      <c r="R914" s="16" t="e">
        <f>VLOOKUP((D915),'Pwr Factor'!$A$1:$B$52,2)</f>
        <v>#N/A</v>
      </c>
      <c r="S914" s="50">
        <v>0.25</v>
      </c>
      <c r="T914" s="92"/>
      <c r="U914" s="92"/>
      <c r="V914" s="32"/>
      <c r="W914" s="92"/>
      <c r="X914" s="92"/>
      <c r="Y914" s="92"/>
      <c r="Z914" s="92"/>
      <c r="AA914" s="92"/>
      <c r="AB914" s="19"/>
      <c r="AC914" s="105">
        <f t="shared" si="62"/>
        <v>0</v>
      </c>
    </row>
    <row r="915" spans="1:29" x14ac:dyDescent="0.2">
      <c r="A915" s="1" t="s">
        <v>150</v>
      </c>
      <c r="B915" s="103">
        <f>IF(AND('AES Indiana Bill Calc.'!$D$17="HL2",'AES Indiana Bill Calc.'!$D$18="Yes 25%",'AES Indiana Bill Calc.'!$D$20="Yes 2019"),'AES Indiana Bill Calc.'!$D$19,-1)</f>
        <v>-1</v>
      </c>
      <c r="C915" s="103">
        <f>MAX(E915,$C$769)</f>
        <v>2000</v>
      </c>
      <c r="D915" s="103" t="b">
        <f>IF(AND('AES Indiana Bill Calc.'!$D$17="HL2",'AES Indiana Bill Calc.'!$D$18="Yes 25%",'AES Indiana Bill Calc.'!$D$20="Yes 2019"),'AES Indiana Bill Calc.'!$D$22)</f>
        <v>0</v>
      </c>
      <c r="E915" s="103" t="b">
        <f>IF(AND('AES Indiana Bill Calc.'!$D$17="HL2",'AES Indiana Bill Calc.'!$D$18="Yes 25%",'AES Indiana Bill Calc.'!$D$20="Yes 2019"),'AES Indiana Bill Calc.'!$D$21)</f>
        <v>0</v>
      </c>
      <c r="F915" s="36" t="s">
        <v>243</v>
      </c>
      <c r="G915" s="92" t="e">
        <f>SUM(J915:M915,R915:AA915)</f>
        <v>#N/A</v>
      </c>
      <c r="H915" s="19" t="e">
        <f>IF(ISBLANK(B915),0,+#REF!/B915)</f>
        <v>#REF!</v>
      </c>
      <c r="J915" s="109">
        <f t="shared" si="59"/>
        <v>215</v>
      </c>
      <c r="K915" s="92">
        <f t="shared" si="60"/>
        <v>-0.04</v>
      </c>
      <c r="L915" s="17">
        <f>IF(ISBLANK($C915),0,IF($C915&lt;$C$877,ROUND($C$877*$L$876,2),IF($C915&gt;L$877,ROUND(L$877*L$876,2),ROUND($C915*L$876,2))))</f>
        <v>50000</v>
      </c>
      <c r="M915" s="17">
        <f>IF($C915&gt;L$877,ROUND(($C915-L$877)*M$876,2),0)</f>
        <v>0</v>
      </c>
      <c r="N915" s="17">
        <f>K915</f>
        <v>-0.04</v>
      </c>
      <c r="O915" s="92"/>
      <c r="P915" s="92"/>
      <c r="Q915" s="17">
        <f>SUM(L915:M915)</f>
        <v>50000</v>
      </c>
      <c r="R915" s="110" t="e">
        <f>ROUND(SUM(K915:M915)*(R914-1),2)</f>
        <v>#N/A</v>
      </c>
      <c r="S915" s="92">
        <f>ROUND($B915*S$876*S914,2)</f>
        <v>0</v>
      </c>
      <c r="T915" s="92">
        <f>ROUND($B915*T$876,2)</f>
        <v>0</v>
      </c>
      <c r="U915" s="92">
        <f>ROUND($B915*U$876,2)</f>
        <v>0</v>
      </c>
      <c r="V915" s="32">
        <f>ROUND($B915*$V$870,2)</f>
        <v>0</v>
      </c>
      <c r="W915" s="92">
        <f>ROUND($B915*W$876,2)</f>
        <v>0</v>
      </c>
      <c r="X915" s="92">
        <f>ROUND($B915*X$876,2)</f>
        <v>0</v>
      </c>
      <c r="Y915" s="92">
        <f>ROUND($B915*Y$876,2)</f>
        <v>0</v>
      </c>
      <c r="Z915" s="92">
        <f>ROUND($B915*Z$876,2)</f>
        <v>0</v>
      </c>
      <c r="AA915" s="92">
        <f>ROUND($B915*AA$876,2)</f>
        <v>0</v>
      </c>
      <c r="AB915" s="19">
        <f>SUM(U$876:AA$876)+(-V$876+V901)</f>
        <v>2.3699999999999997E-3</v>
      </c>
      <c r="AC915" s="105" t="str">
        <f t="shared" si="62"/>
        <v>HL29</v>
      </c>
    </row>
    <row r="916" spans="1:29" x14ac:dyDescent="0.2">
      <c r="A916" s="9"/>
      <c r="B916" s="103">
        <v>-1</v>
      </c>
      <c r="D916" s="32"/>
      <c r="E916" s="103"/>
      <c r="F916" s="36"/>
      <c r="G916" s="92"/>
      <c r="H916" s="19" t="e">
        <f>IF(ISBLANK(B916),0,+#REF!/B916)</f>
        <v>#REF!</v>
      </c>
      <c r="J916" s="109">
        <f t="shared" si="59"/>
        <v>215</v>
      </c>
      <c r="K916" s="92">
        <f t="shared" si="60"/>
        <v>-0.04</v>
      </c>
      <c r="L916" s="92">
        <f>IF(ISBLANK($E916),0,IF($E916&lt;$C$877,ROUND($C$877*$L$876,2),IF($E916&gt;L$877,ROUND(L$877*L$876,2),ROUND($E916*L$876,2))))</f>
        <v>0</v>
      </c>
      <c r="M916" s="92">
        <f>IF($E916&gt;L$877,ROUND(($E916-L$877)*M$876,2),0)</f>
        <v>0</v>
      </c>
      <c r="N916" s="92"/>
      <c r="O916" s="92"/>
      <c r="P916" s="92"/>
      <c r="Q916" s="92"/>
      <c r="R916" s="16" t="e">
        <f>VLOOKUP((D917),'Pwr Factor'!$A$1:$B$52,2)</f>
        <v>#N/A</v>
      </c>
      <c r="S916" s="50">
        <v>0.1</v>
      </c>
      <c r="T916" s="92"/>
      <c r="U916" s="92"/>
      <c r="V916" s="32"/>
      <c r="W916" s="92"/>
      <c r="X916" s="92"/>
      <c r="Y916" s="92"/>
      <c r="Z916" s="92"/>
      <c r="AA916" s="92"/>
      <c r="AB916" s="19"/>
      <c r="AC916" s="105">
        <f t="shared" si="62"/>
        <v>0</v>
      </c>
    </row>
    <row r="917" spans="1:29" x14ac:dyDescent="0.2">
      <c r="A917" s="1" t="s">
        <v>164</v>
      </c>
      <c r="B917" s="103">
        <f>IF(AND('AES Indiana Bill Calc.'!$D$17="HL2",'AES Indiana Bill Calc.'!$D$18="Yes 10%",'AES Indiana Bill Calc.'!$D$20="Yes 2019"),'AES Indiana Bill Calc.'!$D$19,-1)</f>
        <v>-1</v>
      </c>
      <c r="C917" s="103">
        <f>MAX(E917,$C$769)</f>
        <v>2000</v>
      </c>
      <c r="D917" s="103" t="b">
        <f>IF(AND('AES Indiana Bill Calc.'!$D$17="HL2",'AES Indiana Bill Calc.'!$D$18="Yes 10%",'AES Indiana Bill Calc.'!$D$20="Yes 2019"),'AES Indiana Bill Calc.'!$D$22)</f>
        <v>0</v>
      </c>
      <c r="E917" s="103" t="b">
        <f>IF(AND('AES Indiana Bill Calc.'!$D$17="HL2",'AES Indiana Bill Calc.'!$D$18="Yes 10%",'AES Indiana Bill Calc.'!$D$20="Yes 2019"),'AES Indiana Bill Calc.'!$D$21)</f>
        <v>0</v>
      </c>
      <c r="F917" s="36" t="s">
        <v>243</v>
      </c>
      <c r="G917" s="92" t="e">
        <f>SUM(J917:M917,R917:AA917)</f>
        <v>#N/A</v>
      </c>
      <c r="H917" s="19" t="e">
        <f>IF(ISBLANK(B917),0,+#REF!/B917)</f>
        <v>#REF!</v>
      </c>
      <c r="J917" s="109">
        <f t="shared" si="59"/>
        <v>215</v>
      </c>
      <c r="K917" s="92">
        <f t="shared" si="60"/>
        <v>-0.04</v>
      </c>
      <c r="L917" s="17">
        <f>IF(ISBLANK($C917),0,IF($C917&lt;$C$877,ROUND($C$877*$L$876,2),IF($C917&gt;L$877,ROUND(L$877*L$876,2),ROUND($C917*L$876,2))))</f>
        <v>50000</v>
      </c>
      <c r="M917" s="17">
        <f>IF($C917&gt;L$877,ROUND(($C917-L$877)*M$876,2),0)</f>
        <v>0</v>
      </c>
      <c r="N917" s="17">
        <f>K917</f>
        <v>-0.04</v>
      </c>
      <c r="O917" s="92"/>
      <c r="P917" s="92"/>
      <c r="Q917" s="17">
        <f>SUM(L917:M917)</f>
        <v>50000</v>
      </c>
      <c r="R917" s="110" t="e">
        <f>ROUND(SUM(K917:M917)*(R916-1),2)</f>
        <v>#N/A</v>
      </c>
      <c r="S917" s="92">
        <f>ROUND($B917*S$876*S916,2)</f>
        <v>0</v>
      </c>
      <c r="T917" s="92">
        <f>ROUND($B917*T$876,2)</f>
        <v>0</v>
      </c>
      <c r="U917" s="92">
        <f>ROUND($B917*U$876,2)</f>
        <v>0</v>
      </c>
      <c r="V917" s="32">
        <f>ROUND($B917*$V$870,2)</f>
        <v>0</v>
      </c>
      <c r="W917" s="92">
        <f>ROUND($B917*W$876,2)</f>
        <v>0</v>
      </c>
      <c r="X917" s="92">
        <f>ROUND($B917*X$876,2)</f>
        <v>0</v>
      </c>
      <c r="Y917" s="92">
        <f>ROUND($B917*Y$876,2)</f>
        <v>0</v>
      </c>
      <c r="Z917" s="92">
        <f>ROUND($B917*Z$876,2)</f>
        <v>0</v>
      </c>
      <c r="AA917" s="92">
        <f>ROUND($B917*AA$876,2)</f>
        <v>0</v>
      </c>
      <c r="AB917" s="19">
        <f>SUM(U$876:AA$876)+(-V$876+V903)</f>
        <v>2.3699999999999997E-3</v>
      </c>
      <c r="AC917" s="105" t="str">
        <f t="shared" si="62"/>
        <v>HL29</v>
      </c>
    </row>
    <row r="918" spans="1:29" x14ac:dyDescent="0.2">
      <c r="A918" s="9"/>
      <c r="B918" s="103">
        <v>-1</v>
      </c>
      <c r="D918" s="32"/>
      <c r="E918" s="103"/>
      <c r="F918" s="36"/>
      <c r="G918" s="92"/>
      <c r="H918" s="19" t="e">
        <f>IF(ISBLANK(B918),0,+#REF!/B918)</f>
        <v>#REF!</v>
      </c>
      <c r="J918" s="109">
        <f t="shared" si="59"/>
        <v>215</v>
      </c>
      <c r="K918" s="92">
        <f t="shared" si="60"/>
        <v>-0.04</v>
      </c>
      <c r="L918" s="92">
        <f>IF(ISBLANK($E918),0,IF($E918&lt;$C$877,ROUND($C$877*$L$876,2),IF($E918&gt;L$877,ROUND(L$877*L$876,2),ROUND($E918*L$876,2))))</f>
        <v>0</v>
      </c>
      <c r="M918" s="92">
        <f>IF($E918&gt;L$877,ROUND(($E918-L$877)*M$876,2),0)</f>
        <v>0</v>
      </c>
      <c r="N918" s="92"/>
      <c r="O918" s="92"/>
      <c r="P918" s="92"/>
      <c r="Q918" s="92"/>
      <c r="R918" s="16" t="e">
        <f>VLOOKUP((D919),'Pwr Factor'!$A$1:$B$52,2)</f>
        <v>#N/A</v>
      </c>
      <c r="S918" s="50">
        <v>0</v>
      </c>
      <c r="T918" s="92"/>
      <c r="U918" s="92"/>
      <c r="V918" s="32"/>
      <c r="W918" s="92"/>
      <c r="X918" s="92"/>
      <c r="Y918" s="92"/>
      <c r="Z918" s="92"/>
      <c r="AA918" s="92"/>
      <c r="AB918" s="19"/>
      <c r="AC918" s="105">
        <f t="shared" si="62"/>
        <v>0</v>
      </c>
    </row>
    <row r="919" spans="1:29" x14ac:dyDescent="0.2">
      <c r="A919" s="1" t="s">
        <v>147</v>
      </c>
      <c r="B919" s="103">
        <f>IF(AND('AES Indiana Bill Calc.'!$D$17="HL2",'AES Indiana Bill Calc.'!$D$18="No",'AES Indiana Bill Calc.'!$D$20="Yes 2019"),'AES Indiana Bill Calc.'!$D$19,-1)</f>
        <v>-1</v>
      </c>
      <c r="C919" s="103">
        <f>MAX(E919,$C$769)</f>
        <v>2000</v>
      </c>
      <c r="D919" s="103" t="b">
        <f>IF(AND('AES Indiana Bill Calc.'!$D$17="HL2",'AES Indiana Bill Calc.'!$D$18="No",'AES Indiana Bill Calc.'!$D$20="Yes 2019"),'AES Indiana Bill Calc.'!$D$22)</f>
        <v>0</v>
      </c>
      <c r="E919" s="103" t="b">
        <f>IF(AND('AES Indiana Bill Calc.'!$D$17="HL2",'AES Indiana Bill Calc.'!$D$18="No",'AES Indiana Bill Calc.'!$D$20="Yes 2019"),'AES Indiana Bill Calc.'!$D$21)</f>
        <v>0</v>
      </c>
      <c r="F919" s="36" t="s">
        <v>243</v>
      </c>
      <c r="G919" s="92" t="e">
        <f>SUM(J919:M919,R919:AA919)</f>
        <v>#N/A</v>
      </c>
      <c r="H919" s="19" t="e">
        <f>IF(ISBLANK(B919),0,+#REF!/B919)</f>
        <v>#REF!</v>
      </c>
      <c r="J919" s="109">
        <f t="shared" si="59"/>
        <v>215</v>
      </c>
      <c r="K919" s="92">
        <f t="shared" si="60"/>
        <v>-0.04</v>
      </c>
      <c r="L919" s="17">
        <f>IF(ISBLANK($C919),0,IF($C919&lt;$C$877,ROUND($C$877*$L$876,2),IF($C919&gt;L$877,ROUND(L$877*L$876,2),ROUND($C919*L$876,2))))</f>
        <v>50000</v>
      </c>
      <c r="M919" s="17">
        <f>IF($C919&gt;L$877,ROUND(($C919-L$877)*M$876,2),0)</f>
        <v>0</v>
      </c>
      <c r="N919" s="17">
        <f>K919</f>
        <v>-0.04</v>
      </c>
      <c r="O919" s="92"/>
      <c r="P919" s="92"/>
      <c r="Q919" s="17">
        <f>SUM(L919:M919)</f>
        <v>50000</v>
      </c>
      <c r="R919" s="110" t="e">
        <f>ROUND(SUM(K919:M919)*(R918-1),2)</f>
        <v>#N/A</v>
      </c>
      <c r="S919" s="92">
        <f>ROUND($B919*S$876*S918,2)</f>
        <v>0</v>
      </c>
      <c r="T919" s="92">
        <f>ROUND($B919*T$876,2)</f>
        <v>0</v>
      </c>
      <c r="U919" s="92">
        <f>ROUND($B919*U$876,2)</f>
        <v>0</v>
      </c>
      <c r="V919" s="32">
        <f>ROUND($B919*$V$870,2)</f>
        <v>0</v>
      </c>
      <c r="W919" s="92">
        <f>ROUND($B919*W$876,2)</f>
        <v>0</v>
      </c>
      <c r="X919" s="92">
        <f>ROUND($B919*X$876,2)</f>
        <v>0</v>
      </c>
      <c r="Y919" s="92">
        <f>ROUND($B919*Y$876,2)</f>
        <v>0</v>
      </c>
      <c r="Z919" s="92">
        <f>ROUND($B919*Z$876,2)</f>
        <v>0</v>
      </c>
      <c r="AA919" s="92">
        <f>ROUND($B919*AA$876,2)</f>
        <v>0</v>
      </c>
      <c r="AB919" s="19">
        <f>SUM(U$876:AA$876)+(-V$876+V905)</f>
        <v>2.3699999999999997E-3</v>
      </c>
      <c r="AC919" s="105" t="str">
        <f t="shared" si="62"/>
        <v>HL29</v>
      </c>
    </row>
    <row r="920" spans="1:29" x14ac:dyDescent="0.2">
      <c r="B920" s="103">
        <v>-1</v>
      </c>
      <c r="D920" s="32"/>
      <c r="E920" s="103"/>
      <c r="F920" s="36"/>
      <c r="G920" s="92"/>
      <c r="H920" s="19" t="e">
        <f>IF(ISBLANK(B920),0,+#REF!/B920)</f>
        <v>#REF!</v>
      </c>
      <c r="J920" s="109">
        <f t="shared" si="59"/>
        <v>215</v>
      </c>
      <c r="K920" s="92">
        <f t="shared" si="60"/>
        <v>-0.04</v>
      </c>
      <c r="L920" s="92">
        <f>IF(ISBLANK($E920),0,IF($E920&lt;$C$877,ROUND($C$877*$L$876,2),IF($E920&gt;L$877,ROUND(L$877*L$876,2),ROUND($E920*L$876,2))))</f>
        <v>0</v>
      </c>
      <c r="M920" s="92">
        <f>IF($E920&gt;L$877,ROUND(($E920-L$877)*M$876,2),0)</f>
        <v>0</v>
      </c>
      <c r="N920" s="92"/>
      <c r="O920" s="92"/>
      <c r="P920" s="92"/>
      <c r="Q920" s="92"/>
      <c r="R920" s="16" t="e">
        <f>VLOOKUP((D921),'Pwr Factor'!$A$1:$B$52,2)</f>
        <v>#N/A</v>
      </c>
      <c r="S920" s="50">
        <v>1</v>
      </c>
      <c r="T920" s="92"/>
      <c r="U920" s="92"/>
      <c r="V920" s="32"/>
      <c r="W920" s="92"/>
      <c r="X920" s="92"/>
      <c r="Y920" s="92"/>
      <c r="Z920" s="92"/>
      <c r="AA920" s="92"/>
      <c r="AB920" s="19"/>
      <c r="AC920" s="105">
        <f t="shared" si="62"/>
        <v>0</v>
      </c>
    </row>
    <row r="921" spans="1:29" x14ac:dyDescent="0.2">
      <c r="A921" s="1" t="s">
        <v>148</v>
      </c>
      <c r="B921" s="103">
        <f>IF(AND('AES Indiana Bill Calc.'!$D$17="HL2",'AES Indiana Bill Calc.'!$D$18="Yes 100%",'AES Indiana Bill Calc.'!$D$20="Yes 2020"),'AES Indiana Bill Calc.'!$D$19,-1)</f>
        <v>-1</v>
      </c>
      <c r="C921" s="103">
        <f>MAX(E921,$C$769)</f>
        <v>2000</v>
      </c>
      <c r="D921" s="103" t="b">
        <f>IF(AND('AES Indiana Bill Calc.'!$D$17="HL2",'AES Indiana Bill Calc.'!$D$18="Yes 100%",'AES Indiana Bill Calc.'!$D$20="Yes 2020"),'AES Indiana Bill Calc.'!$D$22)</f>
        <v>0</v>
      </c>
      <c r="E921" s="103" t="b">
        <f>IF(AND('AES Indiana Bill Calc.'!$D$17="HL2",'AES Indiana Bill Calc.'!$D$18="Yes 100%",'AES Indiana Bill Calc.'!$D$20="Yes 2020"),'AES Indiana Bill Calc.'!$D$21)</f>
        <v>0</v>
      </c>
      <c r="F921" s="36" t="s">
        <v>244</v>
      </c>
      <c r="G921" s="92" t="e">
        <f>SUM(J921:M921,R921:AA921)</f>
        <v>#N/A</v>
      </c>
      <c r="H921" s="19" t="e">
        <f>IF(ISBLANK(B921),0,+#REF!/B921)</f>
        <v>#REF!</v>
      </c>
      <c r="J921" s="109">
        <f t="shared" si="59"/>
        <v>215</v>
      </c>
      <c r="K921" s="92">
        <f t="shared" si="60"/>
        <v>-0.04</v>
      </c>
      <c r="L921" s="17">
        <f>IF(ISBLANK($C921),0,IF($C921&lt;$C$877,ROUND($C$877*$L$876,2),IF($C921&gt;L$877,ROUND(L$877*L$876,2),ROUND($C921*L$876,2))))</f>
        <v>50000</v>
      </c>
      <c r="M921" s="17">
        <f>IF($C921&gt;L$877,ROUND(($C921-L$877)*M$876,2),0)</f>
        <v>0</v>
      </c>
      <c r="N921" s="17">
        <f>K921</f>
        <v>-0.04</v>
      </c>
      <c r="O921" s="92"/>
      <c r="P921" s="92"/>
      <c r="Q921" s="17">
        <f>SUM(L921:M921)</f>
        <v>50000</v>
      </c>
      <c r="R921" s="110" t="e">
        <f>ROUND(SUM(K921:M921)*(R920-1),2)</f>
        <v>#N/A</v>
      </c>
      <c r="S921" s="92">
        <f>ROUND($B921*S$876*S920,2)</f>
        <v>0</v>
      </c>
      <c r="T921" s="92">
        <f>ROUND($B921*T$876,2)</f>
        <v>0</v>
      </c>
      <c r="U921" s="92">
        <f>ROUND($B921*U$876,2)</f>
        <v>0</v>
      </c>
      <c r="V921" s="32">
        <f>ROUND($B921*$V$871,2)</f>
        <v>0</v>
      </c>
      <c r="W921" s="92">
        <f>ROUND($B921*W$876,2)</f>
        <v>0</v>
      </c>
      <c r="X921" s="92">
        <f>ROUND($B921*X$876,2)</f>
        <v>0</v>
      </c>
      <c r="Y921" s="92">
        <f>ROUND($B921*Y$876,2)</f>
        <v>0</v>
      </c>
      <c r="Z921" s="92">
        <f>ROUND($B921*Z$876,2)</f>
        <v>0</v>
      </c>
      <c r="AA921" s="92">
        <f>ROUND($B921*AA$876,2)</f>
        <v>0</v>
      </c>
      <c r="AB921" s="19">
        <f>SUM(U$876:AA$876)+(-V$876+V907)</f>
        <v>2.3699999999999997E-3</v>
      </c>
      <c r="AC921" s="105" t="str">
        <f t="shared" si="62"/>
        <v>HL20</v>
      </c>
    </row>
    <row r="922" spans="1:29" x14ac:dyDescent="0.2">
      <c r="A922" s="9"/>
      <c r="B922" s="103">
        <v>-1</v>
      </c>
      <c r="D922" s="32"/>
      <c r="E922" s="103"/>
      <c r="F922" s="36"/>
      <c r="G922" s="92"/>
      <c r="H922" s="19" t="e">
        <f>IF(ISBLANK(B922),0,+#REF!/B922)</f>
        <v>#REF!</v>
      </c>
      <c r="J922" s="109">
        <f t="shared" si="59"/>
        <v>215</v>
      </c>
      <c r="K922" s="92">
        <f t="shared" si="60"/>
        <v>-0.04</v>
      </c>
      <c r="L922" s="92">
        <f>IF(ISBLANK($E922),0,IF($E922&lt;$C$877,ROUND($C$877*$L$876,2),IF($E922&gt;L$877,ROUND(L$877*L$876,2),ROUND($E922*L$876,2))))</f>
        <v>0</v>
      </c>
      <c r="M922" s="92">
        <f>IF($E922&gt;L$877,ROUND(($E922-L$877)*M$876,2),0)</f>
        <v>0</v>
      </c>
      <c r="N922" s="92"/>
      <c r="O922" s="92"/>
      <c r="P922" s="92"/>
      <c r="Q922" s="92"/>
      <c r="R922" s="16" t="e">
        <f>VLOOKUP((D923),'Pwr Factor'!$A$1:$B$52,2)</f>
        <v>#N/A</v>
      </c>
      <c r="S922" s="50">
        <v>0.5</v>
      </c>
      <c r="T922" s="92"/>
      <c r="U922" s="92"/>
      <c r="V922" s="32"/>
      <c r="W922" s="92"/>
      <c r="X922" s="92"/>
      <c r="Y922" s="92"/>
      <c r="Z922" s="92"/>
      <c r="AA922" s="92"/>
      <c r="AB922" s="19"/>
      <c r="AC922" s="105">
        <f t="shared" si="62"/>
        <v>0</v>
      </c>
    </row>
    <row r="923" spans="1:29" x14ac:dyDescent="0.2">
      <c r="A923" s="1" t="s">
        <v>149</v>
      </c>
      <c r="B923" s="103">
        <f>IF(AND('AES Indiana Bill Calc.'!$D$17="HL2",'AES Indiana Bill Calc.'!$D$18="Yes 50%",'AES Indiana Bill Calc.'!$D$20="Yes 2020"),'AES Indiana Bill Calc.'!$D$19,-1)</f>
        <v>-1</v>
      </c>
      <c r="C923" s="103">
        <f>MAX(E923,$C$769)</f>
        <v>2000</v>
      </c>
      <c r="D923" s="103" t="b">
        <f>IF(AND('AES Indiana Bill Calc.'!$D$17="HL2",'AES Indiana Bill Calc.'!$D$18="Yes 50%",'AES Indiana Bill Calc.'!$D$20="Yes 2020"),'AES Indiana Bill Calc.'!$D$22)</f>
        <v>0</v>
      </c>
      <c r="E923" s="103" t="b">
        <f>IF(AND('AES Indiana Bill Calc.'!$D$17="HL2",'AES Indiana Bill Calc.'!$D$18="Yes 50%",'AES Indiana Bill Calc.'!$D$20="Yes 2020"),'AES Indiana Bill Calc.'!$D$21)</f>
        <v>0</v>
      </c>
      <c r="F923" s="36" t="s">
        <v>244</v>
      </c>
      <c r="G923" s="92" t="e">
        <f>SUM(J923:M923,R923:AA923)</f>
        <v>#N/A</v>
      </c>
      <c r="H923" s="19" t="e">
        <f>IF(ISBLANK(B923),0,+#REF!/B923)</f>
        <v>#REF!</v>
      </c>
      <c r="J923" s="109">
        <f t="shared" si="59"/>
        <v>215</v>
      </c>
      <c r="K923" s="92">
        <f t="shared" si="60"/>
        <v>-0.04</v>
      </c>
      <c r="L923" s="17">
        <f>IF(ISBLANK($C923),0,IF($C923&lt;$C$877,ROUND($C$877*$L$876,2),IF($C923&gt;L$877,ROUND(L$877*L$876,2),ROUND($C923*L$876,2))))</f>
        <v>50000</v>
      </c>
      <c r="M923" s="17">
        <f>IF($C923&gt;L$877,ROUND(($C923-L$877)*M$876,2),0)</f>
        <v>0</v>
      </c>
      <c r="N923" s="17">
        <f>K923</f>
        <v>-0.04</v>
      </c>
      <c r="O923" s="92"/>
      <c r="P923" s="92"/>
      <c r="Q923" s="17">
        <f>SUM(L923:M923)</f>
        <v>50000</v>
      </c>
      <c r="R923" s="110" t="e">
        <f>ROUND(SUM(K923:M923)*(R922-1),2)</f>
        <v>#N/A</v>
      </c>
      <c r="S923" s="92">
        <f>ROUND($B923*S$876*S922,2)</f>
        <v>0</v>
      </c>
      <c r="T923" s="92">
        <f>ROUND($B923*T$876,2)</f>
        <v>0</v>
      </c>
      <c r="U923" s="92">
        <f>ROUND($B923*U$876,2)</f>
        <v>0</v>
      </c>
      <c r="V923" s="32">
        <f>ROUND($B923*$V$871,2)</f>
        <v>0</v>
      </c>
      <c r="W923" s="92">
        <f>ROUND($B923*W$876,2)</f>
        <v>0</v>
      </c>
      <c r="X923" s="92">
        <f>ROUND($B923*X$876,2)</f>
        <v>0</v>
      </c>
      <c r="Y923" s="92">
        <f>ROUND($B923*Y$876,2)</f>
        <v>0</v>
      </c>
      <c r="Z923" s="92">
        <f>ROUND($B923*Z$876,2)</f>
        <v>0</v>
      </c>
      <c r="AA923" s="92">
        <f>ROUND($B923*AA$876,2)</f>
        <v>0</v>
      </c>
      <c r="AB923" s="19">
        <f>SUM(U$876:AA$876)+(-V$876+V909)</f>
        <v>2.3699999999999997E-3</v>
      </c>
      <c r="AC923" s="105" t="str">
        <f t="shared" si="62"/>
        <v>HL20</v>
      </c>
    </row>
    <row r="924" spans="1:29" x14ac:dyDescent="0.2">
      <c r="A924" s="9"/>
      <c r="B924" s="103">
        <v>-1</v>
      </c>
      <c r="D924" s="32"/>
      <c r="E924" s="103"/>
      <c r="F924" s="36"/>
      <c r="G924" s="92"/>
      <c r="H924" s="19" t="e">
        <f>IF(ISBLANK(B924),0,+#REF!/B924)</f>
        <v>#REF!</v>
      </c>
      <c r="J924" s="109">
        <f t="shared" si="59"/>
        <v>215</v>
      </c>
      <c r="K924" s="92">
        <f t="shared" si="60"/>
        <v>-0.04</v>
      </c>
      <c r="L924" s="92">
        <f>IF(ISBLANK($E924),0,IF($E924&lt;$C$877,ROUND($C$877*$L$876,2),IF($E924&gt;L$877,ROUND(L$877*L$876,2),ROUND($E924*L$876,2))))</f>
        <v>0</v>
      </c>
      <c r="M924" s="92">
        <f>IF($E924&gt;L$877,ROUND(($E924-L$877)*M$876,2),0)</f>
        <v>0</v>
      </c>
      <c r="N924" s="92"/>
      <c r="O924" s="92"/>
      <c r="P924" s="92"/>
      <c r="Q924" s="92"/>
      <c r="R924" s="16" t="e">
        <f>VLOOKUP((D925),'Pwr Factor'!$A$1:$B$52,2)</f>
        <v>#N/A</v>
      </c>
      <c r="S924" s="50">
        <v>0.25</v>
      </c>
      <c r="T924" s="92"/>
      <c r="U924" s="92"/>
      <c r="V924" s="32"/>
      <c r="W924" s="92"/>
      <c r="X924" s="92"/>
      <c r="Y924" s="92"/>
      <c r="Z924" s="92"/>
      <c r="AA924" s="92"/>
      <c r="AB924" s="19"/>
      <c r="AC924" s="105">
        <f t="shared" si="62"/>
        <v>0</v>
      </c>
    </row>
    <row r="925" spans="1:29" x14ac:dyDescent="0.2">
      <c r="A925" s="1" t="s">
        <v>150</v>
      </c>
      <c r="B925" s="103">
        <f>IF(AND('AES Indiana Bill Calc.'!$D$17="HL2",'AES Indiana Bill Calc.'!$D$18="Yes 25%",'AES Indiana Bill Calc.'!$D$20="Yes 2020"),'AES Indiana Bill Calc.'!$D$19,-1)</f>
        <v>-1</v>
      </c>
      <c r="C925" s="103">
        <f>MAX(E925,$C$769)</f>
        <v>2000</v>
      </c>
      <c r="D925" s="103" t="b">
        <f>IF(AND('AES Indiana Bill Calc.'!$D$17="HL2",'AES Indiana Bill Calc.'!$D$18="Yes 25%",'AES Indiana Bill Calc.'!$D$20="Yes 2020"),'AES Indiana Bill Calc.'!$D$22)</f>
        <v>0</v>
      </c>
      <c r="E925" s="103" t="b">
        <f>IF(AND('AES Indiana Bill Calc.'!$D$17="HL2",'AES Indiana Bill Calc.'!$D$18="Yes 25%",'AES Indiana Bill Calc.'!$D$20="Yes 2020"),'AES Indiana Bill Calc.'!$D$21)</f>
        <v>0</v>
      </c>
      <c r="F925" s="36" t="s">
        <v>244</v>
      </c>
      <c r="G925" s="92" t="e">
        <f>SUM(J925:M925,R925:AA925)</f>
        <v>#N/A</v>
      </c>
      <c r="H925" s="19" t="e">
        <f>IF(ISBLANK(B925),0,+#REF!/B925)</f>
        <v>#REF!</v>
      </c>
      <c r="J925" s="109">
        <f t="shared" si="59"/>
        <v>215</v>
      </c>
      <c r="K925" s="92">
        <f t="shared" si="60"/>
        <v>-0.04</v>
      </c>
      <c r="L925" s="17">
        <f>IF(ISBLANK($C925),0,IF($C925&lt;$C$877,ROUND($C$877*$L$876,2),IF($C925&gt;L$877,ROUND(L$877*L$876,2),ROUND($C925*L$876,2))))</f>
        <v>50000</v>
      </c>
      <c r="M925" s="17">
        <f>IF($C925&gt;L$877,ROUND(($C925-L$877)*M$876,2),0)</f>
        <v>0</v>
      </c>
      <c r="N925" s="17">
        <f>K925</f>
        <v>-0.04</v>
      </c>
      <c r="O925" s="92"/>
      <c r="P925" s="92"/>
      <c r="Q925" s="17">
        <f>SUM(L925:M925)</f>
        <v>50000</v>
      </c>
      <c r="R925" s="110" t="e">
        <f>ROUND(SUM(K925:M925)*(R924-1),2)</f>
        <v>#N/A</v>
      </c>
      <c r="S925" s="92">
        <f>ROUND($B925*S$876*S924,2)</f>
        <v>0</v>
      </c>
      <c r="T925" s="92">
        <f>ROUND($B925*T$876,2)</f>
        <v>0</v>
      </c>
      <c r="U925" s="92">
        <f>ROUND($B925*U$876,2)</f>
        <v>0</v>
      </c>
      <c r="V925" s="32">
        <f>ROUND($B925*$V$871,2)</f>
        <v>0</v>
      </c>
      <c r="W925" s="92">
        <f>ROUND($B925*W$876,2)</f>
        <v>0</v>
      </c>
      <c r="X925" s="92">
        <f>ROUND($B925*X$876,2)</f>
        <v>0</v>
      </c>
      <c r="Y925" s="92">
        <f>ROUND($B925*Y$876,2)</f>
        <v>0</v>
      </c>
      <c r="Z925" s="92">
        <f>ROUND($B925*Z$876,2)</f>
        <v>0</v>
      </c>
      <c r="AA925" s="92">
        <f>ROUND($B925*AA$876,2)</f>
        <v>0</v>
      </c>
      <c r="AB925" s="19">
        <f>SUM(U$876:AA$876)+(-V$876+V911)</f>
        <v>2.3699999999999997E-3</v>
      </c>
      <c r="AC925" s="105" t="str">
        <f t="shared" si="62"/>
        <v>HL20</v>
      </c>
    </row>
    <row r="926" spans="1:29" x14ac:dyDescent="0.2">
      <c r="A926" s="9"/>
      <c r="B926" s="103">
        <v>-1</v>
      </c>
      <c r="D926" s="32"/>
      <c r="E926" s="103"/>
      <c r="F926" s="36"/>
      <c r="G926" s="92"/>
      <c r="H926" s="19" t="e">
        <f>IF(ISBLANK(B926),0,+#REF!/B926)</f>
        <v>#REF!</v>
      </c>
      <c r="J926" s="109">
        <f t="shared" si="59"/>
        <v>215</v>
      </c>
      <c r="K926" s="92">
        <f t="shared" si="60"/>
        <v>-0.04</v>
      </c>
      <c r="L926" s="92">
        <f>IF(ISBLANK($E926),0,IF($E926&lt;$C$877,ROUND($C$877*$L$876,2),IF($E926&gt;L$877,ROUND(L$877*L$876,2),ROUND($E926*L$876,2))))</f>
        <v>0</v>
      </c>
      <c r="M926" s="92">
        <f>IF($E926&gt;L$877,ROUND(($E926-L$877)*M$876,2),0)</f>
        <v>0</v>
      </c>
      <c r="N926" s="92"/>
      <c r="O926" s="92"/>
      <c r="P926" s="92"/>
      <c r="Q926" s="92"/>
      <c r="R926" s="16" t="e">
        <f>VLOOKUP((D927),'Pwr Factor'!$A$1:$B$52,2)</f>
        <v>#N/A</v>
      </c>
      <c r="S926" s="50">
        <v>0.1</v>
      </c>
      <c r="T926" s="92"/>
      <c r="U926" s="92"/>
      <c r="V926" s="32"/>
      <c r="W926" s="92"/>
      <c r="X926" s="92"/>
      <c r="Y926" s="92"/>
      <c r="Z926" s="92"/>
      <c r="AA926" s="92"/>
      <c r="AB926" s="19"/>
      <c r="AC926" s="105">
        <f t="shared" si="62"/>
        <v>0</v>
      </c>
    </row>
    <row r="927" spans="1:29" x14ac:dyDescent="0.2">
      <c r="A927" s="1" t="s">
        <v>164</v>
      </c>
      <c r="B927" s="103">
        <f>IF(AND('AES Indiana Bill Calc.'!$D$17="HL2",'AES Indiana Bill Calc.'!$D$18="Yes 10%",'AES Indiana Bill Calc.'!$D$20="Yes 2020"),'AES Indiana Bill Calc.'!$D$19,-1)</f>
        <v>-1</v>
      </c>
      <c r="C927" s="103">
        <f>MAX(E927,$C$769)</f>
        <v>2000</v>
      </c>
      <c r="D927" s="103" t="b">
        <f>IF(AND('AES Indiana Bill Calc.'!$D$17="HL2",'AES Indiana Bill Calc.'!$D$18="Yes 10%",'AES Indiana Bill Calc.'!$D$20="Yes 2020"),'AES Indiana Bill Calc.'!$D$22)</f>
        <v>0</v>
      </c>
      <c r="E927" s="103" t="b">
        <f>IF(AND('AES Indiana Bill Calc.'!$D$17="HL2",'AES Indiana Bill Calc.'!$D$18="Yes 10%",'AES Indiana Bill Calc.'!$D$20="Yes 2020"),'AES Indiana Bill Calc.'!$D$21)</f>
        <v>0</v>
      </c>
      <c r="F927" s="36" t="s">
        <v>244</v>
      </c>
      <c r="G927" s="92" t="e">
        <f>SUM(J927:M927,R927:AA927)</f>
        <v>#N/A</v>
      </c>
      <c r="H927" s="19" t="e">
        <f>IF(ISBLANK(B927),0,+#REF!/B927)</f>
        <v>#REF!</v>
      </c>
      <c r="J927" s="109">
        <f t="shared" si="59"/>
        <v>215</v>
      </c>
      <c r="K927" s="92">
        <f t="shared" si="60"/>
        <v>-0.04</v>
      </c>
      <c r="L927" s="17">
        <f>IF(ISBLANK($C927),0,IF($C927&lt;$C$877,ROUND($C$877*$L$876,2),IF($C927&gt;L$877,ROUND(L$877*L$876,2),ROUND($C927*L$876,2))))</f>
        <v>50000</v>
      </c>
      <c r="M927" s="17">
        <f>IF($C927&gt;L$877,ROUND(($C927-L$877)*M$876,2),0)</f>
        <v>0</v>
      </c>
      <c r="N927" s="17">
        <f>K927</f>
        <v>-0.04</v>
      </c>
      <c r="O927" s="92"/>
      <c r="P927" s="92"/>
      <c r="Q927" s="17">
        <f>SUM(L927:M927)</f>
        <v>50000</v>
      </c>
      <c r="R927" s="110" t="e">
        <f>ROUND(SUM(K927:M927)*(R926-1),2)</f>
        <v>#N/A</v>
      </c>
      <c r="S927" s="92">
        <f>ROUND($B927*S$876*S926,2)</f>
        <v>0</v>
      </c>
      <c r="T927" s="92">
        <f>ROUND($B927*T$876,2)</f>
        <v>0</v>
      </c>
      <c r="U927" s="92">
        <f>ROUND($B927*U$876,2)</f>
        <v>0</v>
      </c>
      <c r="V927" s="32">
        <f>ROUND($B927*$V$871,2)</f>
        <v>0</v>
      </c>
      <c r="W927" s="92">
        <f>ROUND($B927*W$876,2)</f>
        <v>0</v>
      </c>
      <c r="X927" s="92">
        <f>ROUND($B927*X$876,2)</f>
        <v>0</v>
      </c>
      <c r="Y927" s="92">
        <f>ROUND($B927*Y$876,2)</f>
        <v>0</v>
      </c>
      <c r="Z927" s="92">
        <f>ROUND($B927*Z$876,2)</f>
        <v>0</v>
      </c>
      <c r="AA927" s="92">
        <f>ROUND($B927*AA$876,2)</f>
        <v>0</v>
      </c>
      <c r="AB927" s="19">
        <f>SUM(U$876:AA$876)+(-V$876+V913)</f>
        <v>2.3699999999999997E-3</v>
      </c>
      <c r="AC927" s="105" t="str">
        <f t="shared" si="62"/>
        <v>HL20</v>
      </c>
    </row>
    <row r="928" spans="1:29" x14ac:dyDescent="0.2">
      <c r="A928" s="9"/>
      <c r="B928" s="103">
        <v>-1</v>
      </c>
      <c r="D928" s="32"/>
      <c r="E928" s="103"/>
      <c r="F928" s="36"/>
      <c r="G928" s="92"/>
      <c r="H928" s="19" t="e">
        <f>IF(ISBLANK(B928),0,+#REF!/B928)</f>
        <v>#REF!</v>
      </c>
      <c r="J928" s="109">
        <f t="shared" si="59"/>
        <v>215</v>
      </c>
      <c r="K928" s="92">
        <f t="shared" si="60"/>
        <v>-0.04</v>
      </c>
      <c r="L928" s="92">
        <f>IF(ISBLANK($E928),0,IF($E928&lt;$C$877,ROUND($C$877*$L$876,2),IF($E928&gt;L$877,ROUND(L$877*L$876,2),ROUND($E928*L$876,2))))</f>
        <v>0</v>
      </c>
      <c r="M928" s="92">
        <f>IF($E928&gt;L$877,ROUND(($E928-L$877)*M$876,2),0)</f>
        <v>0</v>
      </c>
      <c r="N928" s="92"/>
      <c r="O928" s="92"/>
      <c r="P928" s="92"/>
      <c r="Q928" s="92"/>
      <c r="R928" s="16" t="e">
        <f>VLOOKUP((D929),'Pwr Factor'!$A$1:$B$52,2)</f>
        <v>#N/A</v>
      </c>
      <c r="S928" s="50">
        <v>0</v>
      </c>
      <c r="T928" s="92"/>
      <c r="U928" s="92"/>
      <c r="V928" s="32"/>
      <c r="W928" s="92"/>
      <c r="X928" s="92"/>
      <c r="Y928" s="92"/>
      <c r="Z928" s="92"/>
      <c r="AA928" s="92"/>
      <c r="AB928" s="19"/>
      <c r="AC928" s="105">
        <f t="shared" si="62"/>
        <v>0</v>
      </c>
    </row>
    <row r="929" spans="1:29" x14ac:dyDescent="0.2">
      <c r="A929" s="1" t="s">
        <v>147</v>
      </c>
      <c r="B929" s="103">
        <f>IF(AND('AES Indiana Bill Calc.'!$D$17="HL2",'AES Indiana Bill Calc.'!$D$18="No",'AES Indiana Bill Calc.'!$D$20="Yes 2020"),'AES Indiana Bill Calc.'!$D$19,-1)</f>
        <v>-1</v>
      </c>
      <c r="C929" s="103">
        <f>MAX(E929,$C$769)</f>
        <v>2000</v>
      </c>
      <c r="D929" s="103" t="b">
        <f>IF(AND('AES Indiana Bill Calc.'!$D$17="HL2",'AES Indiana Bill Calc.'!$D$18="No",'AES Indiana Bill Calc.'!$D$20="Yes 2020"),'AES Indiana Bill Calc.'!$D$22)</f>
        <v>0</v>
      </c>
      <c r="E929" s="103" t="b">
        <f>IF(AND('AES Indiana Bill Calc.'!$D$17="HL2",'AES Indiana Bill Calc.'!$D$18="No",'AES Indiana Bill Calc.'!$D$20="Yes 2020"),'AES Indiana Bill Calc.'!$D$21)</f>
        <v>0</v>
      </c>
      <c r="F929" s="36" t="s">
        <v>244</v>
      </c>
      <c r="G929" s="92" t="e">
        <f>SUM(J929:M929,R929:AA929)</f>
        <v>#N/A</v>
      </c>
      <c r="H929" s="19" t="e">
        <f>IF(ISBLANK(B929),0,+#REF!/B929)</f>
        <v>#REF!</v>
      </c>
      <c r="J929" s="109">
        <f t="shared" si="59"/>
        <v>215</v>
      </c>
      <c r="K929" s="92">
        <f t="shared" si="60"/>
        <v>-0.04</v>
      </c>
      <c r="L929" s="17">
        <f>IF(ISBLANK($C929),0,IF($C929&lt;$C$877,ROUND($C$877*$L$876,2),IF($C929&gt;L$877,ROUND(L$877*L$876,2),ROUND($C929*L$876,2))))</f>
        <v>50000</v>
      </c>
      <c r="M929" s="17">
        <f>IF($C929&gt;L$877,ROUND(($C929-L$877)*M$876,2),0)</f>
        <v>0</v>
      </c>
      <c r="N929" s="17">
        <f>K929</f>
        <v>-0.04</v>
      </c>
      <c r="O929" s="92"/>
      <c r="P929" s="92"/>
      <c r="Q929" s="17">
        <f>SUM(L929:M929)</f>
        <v>50000</v>
      </c>
      <c r="R929" s="110" t="e">
        <f>ROUND(SUM(K929:M929)*(R928-1),2)</f>
        <v>#N/A</v>
      </c>
      <c r="S929" s="92">
        <f>ROUND($B929*S$876*S928,2)</f>
        <v>0</v>
      </c>
      <c r="T929" s="92">
        <f>ROUND($B929*T$876,2)</f>
        <v>0</v>
      </c>
      <c r="U929" s="92">
        <f>ROUND($B929*U$876,2)</f>
        <v>0</v>
      </c>
      <c r="V929" s="32">
        <f>ROUND($B929*$V$871,2)</f>
        <v>0</v>
      </c>
      <c r="W929" s="92">
        <f>ROUND($B929*W$876,2)</f>
        <v>0</v>
      </c>
      <c r="X929" s="92">
        <f>ROUND($B929*X$876,2)</f>
        <v>0</v>
      </c>
      <c r="Y929" s="92">
        <f>ROUND($B929*Y$876,2)</f>
        <v>0</v>
      </c>
      <c r="Z929" s="92">
        <f>ROUND($B929*Z$876,2)</f>
        <v>0</v>
      </c>
      <c r="AA929" s="92">
        <f>ROUND($B929*AA$876,2)</f>
        <v>0</v>
      </c>
      <c r="AB929" s="19">
        <f>SUM(U$876:AA$876)+(-V$876+V915)</f>
        <v>2.3699999999999997E-3</v>
      </c>
      <c r="AC929" s="105" t="str">
        <f t="shared" si="62"/>
        <v>HL20</v>
      </c>
    </row>
    <row r="930" spans="1:29" x14ac:dyDescent="0.2">
      <c r="B930" s="103">
        <v>-1</v>
      </c>
      <c r="D930" s="32"/>
      <c r="E930" s="103"/>
      <c r="F930" s="36"/>
      <c r="G930" s="92"/>
      <c r="H930" s="19" t="e">
        <f>IF(ISBLANK(B930),0,+#REF!/B930)</f>
        <v>#REF!</v>
      </c>
      <c r="J930" s="109">
        <f t="shared" si="59"/>
        <v>215</v>
      </c>
      <c r="K930" s="92">
        <f t="shared" si="60"/>
        <v>-0.04</v>
      </c>
      <c r="L930" s="92">
        <f>IF(ISBLANK($E930),0,IF($E930&lt;$C$877,ROUND($C$877*$L$876,2),IF($E930&gt;L$877,ROUND(L$877*L$876,2),ROUND($E930*L$876,2))))</f>
        <v>0</v>
      </c>
      <c r="M930" s="92">
        <f>IF($E930&gt;L$877,ROUND(($E930-L$877)*M$876,2),0)</f>
        <v>0</v>
      </c>
      <c r="N930" s="92"/>
      <c r="O930" s="92"/>
      <c r="P930" s="92"/>
      <c r="Q930" s="92"/>
      <c r="R930" s="16" t="e">
        <f>VLOOKUP((D931),'Pwr Factor'!$A$1:$B$52,2)</f>
        <v>#N/A</v>
      </c>
      <c r="S930" s="50">
        <v>1</v>
      </c>
      <c r="T930" s="92"/>
      <c r="U930" s="92"/>
      <c r="V930" s="32"/>
      <c r="W930" s="92"/>
      <c r="X930" s="92"/>
      <c r="Y930" s="92"/>
      <c r="Z930" s="92"/>
      <c r="AA930" s="92"/>
      <c r="AB930" s="19"/>
      <c r="AC930" s="105">
        <f t="shared" si="62"/>
        <v>0</v>
      </c>
    </row>
    <row r="931" spans="1:29" x14ac:dyDescent="0.2">
      <c r="A931" s="1" t="s">
        <v>148</v>
      </c>
      <c r="B931" s="103">
        <f>IF(AND('AES Indiana Bill Calc.'!$D$17="HL2",'AES Indiana Bill Calc.'!$D$18="Yes 100%",'AES Indiana Bill Calc.'!$D$20="Yes 2021"),'AES Indiana Bill Calc.'!$D$19,-1)</f>
        <v>-1</v>
      </c>
      <c r="C931" s="103">
        <f>MAX(E931,$C$769)</f>
        <v>2000</v>
      </c>
      <c r="D931" s="103" t="b">
        <f>IF(AND('AES Indiana Bill Calc.'!$D$17="HL2",'AES Indiana Bill Calc.'!$D$18="Yes 100%",'AES Indiana Bill Calc.'!$D$20="Yes 2021"),'AES Indiana Bill Calc.'!$D$22)</f>
        <v>0</v>
      </c>
      <c r="E931" s="103" t="b">
        <f>IF(AND('AES Indiana Bill Calc.'!$D$17="HL2",'AES Indiana Bill Calc.'!$D$18="Yes 100%",'AES Indiana Bill Calc.'!$D$20="Yes 2021"),'AES Indiana Bill Calc.'!$D$21)</f>
        <v>0</v>
      </c>
      <c r="F931" s="36" t="s">
        <v>245</v>
      </c>
      <c r="G931" s="92" t="e">
        <f>SUM(J931:M931,R931:AA931)</f>
        <v>#N/A</v>
      </c>
      <c r="H931" s="19" t="e">
        <f>IF(ISBLANK(B931),0,+#REF!/B931)</f>
        <v>#REF!</v>
      </c>
      <c r="J931" s="109">
        <f t="shared" si="59"/>
        <v>215</v>
      </c>
      <c r="K931" s="92">
        <f t="shared" si="60"/>
        <v>-0.04</v>
      </c>
      <c r="L931" s="17">
        <f>IF(ISBLANK($C931),0,IF($C931&lt;$C$877,ROUND($C$877*$L$876,2),IF($C931&gt;L$877,ROUND(L$877*L$876,2),ROUND($C931*L$876,2))))</f>
        <v>50000</v>
      </c>
      <c r="M931" s="17">
        <f>IF($C931&gt;L$877,ROUND(($C931-L$877)*M$876,2),0)</f>
        <v>0</v>
      </c>
      <c r="N931" s="17">
        <f>K931</f>
        <v>-0.04</v>
      </c>
      <c r="O931" s="92"/>
      <c r="P931" s="92"/>
      <c r="Q931" s="17">
        <f>SUM(L931:M931)</f>
        <v>50000</v>
      </c>
      <c r="R931" s="110" t="e">
        <f>ROUND(SUM(K931:M931)*(R930-1),2)</f>
        <v>#N/A</v>
      </c>
      <c r="S931" s="92">
        <f>ROUND($B931*S$876*S930,2)</f>
        <v>0</v>
      </c>
      <c r="T931" s="92">
        <f>ROUND($B931*T$876,2)</f>
        <v>0</v>
      </c>
      <c r="U931" s="92">
        <f>ROUND($B931*U$876,2)</f>
        <v>0</v>
      </c>
      <c r="V931" s="32">
        <f>ROUND($B931*$V$872,2)</f>
        <v>0</v>
      </c>
      <c r="W931" s="92">
        <f>ROUND($B931*W$876,2)</f>
        <v>0</v>
      </c>
      <c r="X931" s="92">
        <f>ROUND($B931*X$876,2)</f>
        <v>0</v>
      </c>
      <c r="Y931" s="92">
        <f>ROUND($B931*Y$876,2)</f>
        <v>0</v>
      </c>
      <c r="Z931" s="92">
        <f>ROUND($B931*Z$876,2)</f>
        <v>0</v>
      </c>
      <c r="AA931" s="92">
        <f>ROUND($B931*AA$876,2)</f>
        <v>0</v>
      </c>
      <c r="AB931" s="19">
        <f>SUM(U$876:AA$876)+(-V$876+V917)</f>
        <v>2.3699999999999997E-3</v>
      </c>
      <c r="AC931" s="105" t="str">
        <f t="shared" si="62"/>
        <v>HL21</v>
      </c>
    </row>
    <row r="932" spans="1:29" x14ac:dyDescent="0.2">
      <c r="A932" s="9"/>
      <c r="B932" s="103">
        <v>-1</v>
      </c>
      <c r="D932" s="32"/>
      <c r="E932" s="103"/>
      <c r="F932" s="36"/>
      <c r="G932" s="92"/>
      <c r="H932" s="19" t="e">
        <f>IF(ISBLANK(B932),0,+#REF!/B932)</f>
        <v>#REF!</v>
      </c>
      <c r="J932" s="109">
        <f t="shared" si="59"/>
        <v>215</v>
      </c>
      <c r="K932" s="92">
        <f t="shared" si="60"/>
        <v>-0.04</v>
      </c>
      <c r="L932" s="92">
        <f>IF(ISBLANK($E932),0,IF($E932&lt;$C$877,ROUND($C$877*$L$876,2),IF($E932&gt;L$877,ROUND(L$877*L$876,2),ROUND($E932*L$876,2))))</f>
        <v>0</v>
      </c>
      <c r="M932" s="92">
        <f>IF($E932&gt;L$877,ROUND(($E932-L$877)*M$876,2),0)</f>
        <v>0</v>
      </c>
      <c r="N932" s="92"/>
      <c r="O932" s="92"/>
      <c r="P932" s="92"/>
      <c r="Q932" s="92"/>
      <c r="R932" s="16" t="e">
        <f>VLOOKUP((D933),'Pwr Factor'!$A$1:$B$52,2)</f>
        <v>#N/A</v>
      </c>
      <c r="S932" s="50">
        <v>0.5</v>
      </c>
      <c r="T932" s="92"/>
      <c r="U932" s="92"/>
      <c r="V932" s="32"/>
      <c r="W932" s="92"/>
      <c r="X932" s="92"/>
      <c r="Y932" s="92"/>
      <c r="Z932" s="92"/>
      <c r="AA932" s="92"/>
      <c r="AB932" s="19"/>
      <c r="AC932" s="105">
        <f t="shared" si="62"/>
        <v>0</v>
      </c>
    </row>
    <row r="933" spans="1:29" x14ac:dyDescent="0.2">
      <c r="A933" s="1" t="s">
        <v>149</v>
      </c>
      <c r="B933" s="103">
        <f>IF(AND('AES Indiana Bill Calc.'!$D$17="HL2",'AES Indiana Bill Calc.'!$D$18="Yes 50%",'AES Indiana Bill Calc.'!$D$20="Yes 2021"),'AES Indiana Bill Calc.'!$D$19,-1)</f>
        <v>-1</v>
      </c>
      <c r="C933" s="103">
        <f>MAX(E933,$C$769)</f>
        <v>2000</v>
      </c>
      <c r="D933" s="103" t="b">
        <f>IF(AND('AES Indiana Bill Calc.'!$D$17="HL2",'AES Indiana Bill Calc.'!$D$18="Yes 50%",'AES Indiana Bill Calc.'!$D$20="Yes 2021"),'AES Indiana Bill Calc.'!$D$22)</f>
        <v>0</v>
      </c>
      <c r="E933" s="103" t="b">
        <f>IF(AND('AES Indiana Bill Calc.'!$D$17="HL2",'AES Indiana Bill Calc.'!$D$18="Yes 50%",'AES Indiana Bill Calc.'!$D$20="Yes 2021"),'AES Indiana Bill Calc.'!$D$21)</f>
        <v>0</v>
      </c>
      <c r="F933" s="36" t="s">
        <v>245</v>
      </c>
      <c r="G933" s="92" t="e">
        <f>SUM(J933:M933,R933:AA933)</f>
        <v>#N/A</v>
      </c>
      <c r="H933" s="19" t="e">
        <f>IF(ISBLANK(B933),0,+#REF!/B933)</f>
        <v>#REF!</v>
      </c>
      <c r="J933" s="109">
        <f t="shared" si="59"/>
        <v>215</v>
      </c>
      <c r="K933" s="92">
        <f t="shared" si="60"/>
        <v>-0.04</v>
      </c>
      <c r="L933" s="17">
        <f>IF(ISBLANK($C933),0,IF($C933&lt;$C$877,ROUND($C$877*$L$876,2),IF($C933&gt;L$877,ROUND(L$877*L$876,2),ROUND($C933*L$876,2))))</f>
        <v>50000</v>
      </c>
      <c r="M933" s="17">
        <f>IF($C933&gt;L$877,ROUND(($C933-L$877)*M$876,2),0)</f>
        <v>0</v>
      </c>
      <c r="N933" s="17">
        <f>K933</f>
        <v>-0.04</v>
      </c>
      <c r="O933" s="92"/>
      <c r="P933" s="92"/>
      <c r="Q933" s="17">
        <f>SUM(L933:M933)</f>
        <v>50000</v>
      </c>
      <c r="R933" s="110" t="e">
        <f>ROUND(SUM(K933:M933)*(R932-1),2)</f>
        <v>#N/A</v>
      </c>
      <c r="S933" s="92">
        <f>ROUND($B933*S$876*S932,2)</f>
        <v>0</v>
      </c>
      <c r="T933" s="92">
        <f>ROUND($B933*T$876,2)</f>
        <v>0</v>
      </c>
      <c r="U933" s="92">
        <f>ROUND($B933*U$876,2)</f>
        <v>0</v>
      </c>
      <c r="V933" s="32">
        <f>ROUND($B933*$V$872,2)</f>
        <v>0</v>
      </c>
      <c r="W933" s="92">
        <f>ROUND($B933*W$876,2)</f>
        <v>0</v>
      </c>
      <c r="X933" s="92">
        <f>ROUND($B933*X$876,2)</f>
        <v>0</v>
      </c>
      <c r="Y933" s="92">
        <f>ROUND($B933*Y$876,2)</f>
        <v>0</v>
      </c>
      <c r="Z933" s="92">
        <f>ROUND($B933*Z$876,2)</f>
        <v>0</v>
      </c>
      <c r="AA933" s="92">
        <f>ROUND($B933*AA$876,2)</f>
        <v>0</v>
      </c>
      <c r="AB933" s="19">
        <f>SUM(U$876:AA$876)+(-V$876+V919)</f>
        <v>2.3699999999999997E-3</v>
      </c>
      <c r="AC933" s="105" t="str">
        <f t="shared" si="62"/>
        <v>HL21</v>
      </c>
    </row>
    <row r="934" spans="1:29" x14ac:dyDescent="0.2">
      <c r="A934" s="9"/>
      <c r="B934" s="103">
        <v>-1</v>
      </c>
      <c r="D934" s="32"/>
      <c r="E934" s="103"/>
      <c r="F934" s="36"/>
      <c r="G934" s="92"/>
      <c r="H934" s="19" t="e">
        <f>IF(ISBLANK(B934),0,+#REF!/B934)</f>
        <v>#REF!</v>
      </c>
      <c r="J934" s="109">
        <f t="shared" si="59"/>
        <v>215</v>
      </c>
      <c r="K934" s="92">
        <f t="shared" si="60"/>
        <v>-0.04</v>
      </c>
      <c r="L934" s="92">
        <f>IF(ISBLANK($E934),0,IF($E934&lt;$C$877,ROUND($C$877*$L$876,2),IF($E934&gt;L$877,ROUND(L$877*L$876,2),ROUND($E934*L$876,2))))</f>
        <v>0</v>
      </c>
      <c r="M934" s="92">
        <f>IF($E934&gt;L$877,ROUND(($E934-L$877)*M$876,2),0)</f>
        <v>0</v>
      </c>
      <c r="N934" s="92"/>
      <c r="O934" s="92"/>
      <c r="P934" s="92"/>
      <c r="Q934" s="92"/>
      <c r="R934" s="16" t="e">
        <f>VLOOKUP((D935),'Pwr Factor'!$A$1:$B$52,2)</f>
        <v>#N/A</v>
      </c>
      <c r="S934" s="50">
        <v>0.25</v>
      </c>
      <c r="T934" s="92"/>
      <c r="U934" s="92"/>
      <c r="V934" s="32"/>
      <c r="W934" s="92"/>
      <c r="X934" s="92"/>
      <c r="Y934" s="92"/>
      <c r="Z934" s="92"/>
      <c r="AA934" s="92"/>
      <c r="AB934" s="19"/>
      <c r="AC934" s="105">
        <f t="shared" si="62"/>
        <v>0</v>
      </c>
    </row>
    <row r="935" spans="1:29" x14ac:dyDescent="0.2">
      <c r="A935" s="1" t="s">
        <v>150</v>
      </c>
      <c r="B935" s="103">
        <f>IF(AND('AES Indiana Bill Calc.'!$D$17="HL2",'AES Indiana Bill Calc.'!$D$18="Yes 25%",'AES Indiana Bill Calc.'!$D$20="Yes 2021"),'AES Indiana Bill Calc.'!$D$19,-1)</f>
        <v>-1</v>
      </c>
      <c r="C935" s="103">
        <f>MAX(E935,$C$769)</f>
        <v>2000</v>
      </c>
      <c r="D935" s="103" t="b">
        <f>IF(AND('AES Indiana Bill Calc.'!$D$17="HL2",'AES Indiana Bill Calc.'!$D$18="Yes 25%",'AES Indiana Bill Calc.'!$D$20="Yes 2021"),'AES Indiana Bill Calc.'!$D$22)</f>
        <v>0</v>
      </c>
      <c r="E935" s="103" t="b">
        <f>IF(AND('AES Indiana Bill Calc.'!$D$17="HL2",'AES Indiana Bill Calc.'!$D$18="Yes 25%",'AES Indiana Bill Calc.'!$D$20="Yes 2021"),'AES Indiana Bill Calc.'!$D$21)</f>
        <v>0</v>
      </c>
      <c r="F935" s="36" t="s">
        <v>245</v>
      </c>
      <c r="G935" s="92" t="e">
        <f>SUM(J935:M935,R935:AA935)</f>
        <v>#N/A</v>
      </c>
      <c r="H935" s="19" t="e">
        <f>IF(ISBLANK(B935),0,+#REF!/B935)</f>
        <v>#REF!</v>
      </c>
      <c r="J935" s="109">
        <f t="shared" si="59"/>
        <v>215</v>
      </c>
      <c r="K935" s="92">
        <f t="shared" si="60"/>
        <v>-0.04</v>
      </c>
      <c r="L935" s="17">
        <f>IF(ISBLANK($C935),0,IF($C935&lt;$C$877,ROUND($C$877*$L$876,2),IF($C935&gt;L$877,ROUND(L$877*L$876,2),ROUND($C935*L$876,2))))</f>
        <v>50000</v>
      </c>
      <c r="M935" s="17">
        <f>IF($C935&gt;L$877,ROUND(($C935-L$877)*M$876,2),0)</f>
        <v>0</v>
      </c>
      <c r="N935" s="17">
        <f>K935</f>
        <v>-0.04</v>
      </c>
      <c r="O935" s="92"/>
      <c r="P935" s="92"/>
      <c r="Q935" s="17">
        <f>SUM(L935:M935)</f>
        <v>50000</v>
      </c>
      <c r="R935" s="110" t="e">
        <f>ROUND(SUM(K935:M935)*(R934-1),2)</f>
        <v>#N/A</v>
      </c>
      <c r="S935" s="92">
        <f>ROUND($B935*S$876*S934,2)</f>
        <v>0</v>
      </c>
      <c r="T935" s="92">
        <f>ROUND($B935*T$876,2)</f>
        <v>0</v>
      </c>
      <c r="U935" s="92">
        <f>ROUND($B935*U$876,2)</f>
        <v>0</v>
      </c>
      <c r="V935" s="32">
        <f>ROUND($B935*$V$872,2)</f>
        <v>0</v>
      </c>
      <c r="W935" s="92">
        <f>ROUND($B935*W$876,2)</f>
        <v>0</v>
      </c>
      <c r="X935" s="92">
        <f>ROUND($B935*X$876,2)</f>
        <v>0</v>
      </c>
      <c r="Y935" s="92">
        <f>ROUND($B935*Y$876,2)</f>
        <v>0</v>
      </c>
      <c r="Z935" s="92">
        <f>ROUND($B935*Z$876,2)</f>
        <v>0</v>
      </c>
      <c r="AA935" s="92">
        <f>ROUND($B935*AA$876,2)</f>
        <v>0</v>
      </c>
      <c r="AB935" s="19">
        <f>SUM(U$876:AA$876)+(-V$876+V921)</f>
        <v>2.3699999999999997E-3</v>
      </c>
      <c r="AC935" s="105" t="str">
        <f t="shared" si="62"/>
        <v>HL21</v>
      </c>
    </row>
    <row r="936" spans="1:29" x14ac:dyDescent="0.2">
      <c r="A936" s="9"/>
      <c r="B936" s="103">
        <v>-1</v>
      </c>
      <c r="D936" s="32"/>
      <c r="E936" s="103"/>
      <c r="F936" s="36"/>
      <c r="G936" s="92"/>
      <c r="H936" s="19" t="e">
        <f>IF(ISBLANK(B936),0,+#REF!/B936)</f>
        <v>#REF!</v>
      </c>
      <c r="J936" s="109">
        <f t="shared" si="59"/>
        <v>215</v>
      </c>
      <c r="K936" s="92">
        <f t="shared" si="60"/>
        <v>-0.04</v>
      </c>
      <c r="L936" s="92">
        <f>IF(ISBLANK($E936),0,IF($E936&lt;$C$877,ROUND($C$877*$L$876,2),IF($E936&gt;L$877,ROUND(L$877*L$876,2),ROUND($E936*L$876,2))))</f>
        <v>0</v>
      </c>
      <c r="M936" s="92">
        <f>IF($E936&gt;L$877,ROUND(($E936-L$877)*M$876,2),0)</f>
        <v>0</v>
      </c>
      <c r="N936" s="92"/>
      <c r="O936" s="92"/>
      <c r="P936" s="92"/>
      <c r="Q936" s="92"/>
      <c r="R936" s="16" t="e">
        <f>VLOOKUP((D937),'Pwr Factor'!$A$1:$B$52,2)</f>
        <v>#N/A</v>
      </c>
      <c r="S936" s="50">
        <v>0.1</v>
      </c>
      <c r="T936" s="92"/>
      <c r="U936" s="92"/>
      <c r="V936" s="32"/>
      <c r="W936" s="92"/>
      <c r="X936" s="92"/>
      <c r="Y936" s="92"/>
      <c r="Z936" s="92"/>
      <c r="AA936" s="92"/>
      <c r="AB936" s="19"/>
      <c r="AC936" s="105">
        <f t="shared" si="62"/>
        <v>0</v>
      </c>
    </row>
    <row r="937" spans="1:29" x14ac:dyDescent="0.2">
      <c r="A937" s="1" t="s">
        <v>164</v>
      </c>
      <c r="B937" s="103">
        <f>IF(AND('AES Indiana Bill Calc.'!$D$17="HL2",'AES Indiana Bill Calc.'!$D$18="Yes 10%",'AES Indiana Bill Calc.'!$D$20="Yes 2021"),'AES Indiana Bill Calc.'!$D$19,-1)</f>
        <v>-1</v>
      </c>
      <c r="C937" s="103">
        <f>MAX(E937,$C$769)</f>
        <v>2000</v>
      </c>
      <c r="D937" s="103" t="b">
        <f>IF(AND('AES Indiana Bill Calc.'!$D$17="HL2",'AES Indiana Bill Calc.'!$D$18="Yes 10%",'AES Indiana Bill Calc.'!$D$20="Yes 2021"),'AES Indiana Bill Calc.'!$D$22)</f>
        <v>0</v>
      </c>
      <c r="E937" s="103" t="b">
        <f>IF(AND('AES Indiana Bill Calc.'!$D$17="HL2",'AES Indiana Bill Calc.'!$D$18="Yes 10%",'AES Indiana Bill Calc.'!$D$20="Yes 2021"),'AES Indiana Bill Calc.'!$D$21)</f>
        <v>0</v>
      </c>
      <c r="F937" s="36" t="s">
        <v>245</v>
      </c>
      <c r="G937" s="92" t="e">
        <f>SUM(J937:M937,R937:AA937)</f>
        <v>#N/A</v>
      </c>
      <c r="H937" s="19" t="e">
        <f>IF(ISBLANK(B937),0,+#REF!/B937)</f>
        <v>#REF!</v>
      </c>
      <c r="J937" s="109">
        <f t="shared" si="59"/>
        <v>215</v>
      </c>
      <c r="K937" s="92">
        <f t="shared" si="60"/>
        <v>-0.04</v>
      </c>
      <c r="L937" s="17">
        <f>IF(ISBLANK($C937),0,IF($C937&lt;$C$877,ROUND($C$877*$L$876,2),IF($C937&gt;L$877,ROUND(L$877*L$876,2),ROUND($C937*L$876,2))))</f>
        <v>50000</v>
      </c>
      <c r="M937" s="17">
        <f>IF($C937&gt;L$877,ROUND(($C937-L$877)*M$876,2),0)</f>
        <v>0</v>
      </c>
      <c r="N937" s="17">
        <f>K937</f>
        <v>-0.04</v>
      </c>
      <c r="O937" s="92"/>
      <c r="P937" s="92"/>
      <c r="Q937" s="17">
        <f>SUM(L937:M937)</f>
        <v>50000</v>
      </c>
      <c r="R937" s="110" t="e">
        <f>ROUND(SUM(K937:M937)*(R936-1),2)</f>
        <v>#N/A</v>
      </c>
      <c r="S937" s="92">
        <f>ROUND($B937*S$876*S936,2)</f>
        <v>0</v>
      </c>
      <c r="T937" s="92">
        <f>ROUND($B937*T$876,2)</f>
        <v>0</v>
      </c>
      <c r="U937" s="92">
        <f>ROUND($B937*U$876,2)</f>
        <v>0</v>
      </c>
      <c r="V937" s="32">
        <f>ROUND($B937*$V$872,2)</f>
        <v>0</v>
      </c>
      <c r="W937" s="92">
        <f>ROUND($B937*W$876,2)</f>
        <v>0</v>
      </c>
      <c r="X937" s="92">
        <f>ROUND($B937*X$876,2)</f>
        <v>0</v>
      </c>
      <c r="Y937" s="92">
        <f>ROUND($B937*Y$876,2)</f>
        <v>0</v>
      </c>
      <c r="Z937" s="92">
        <f>ROUND($B937*Z$876,2)</f>
        <v>0</v>
      </c>
      <c r="AA937" s="92">
        <f>ROUND($B937*AA$876,2)</f>
        <v>0</v>
      </c>
      <c r="AB937" s="19">
        <f>SUM(U$876:AA$876)+(-V$876+V923)</f>
        <v>2.3699999999999997E-3</v>
      </c>
      <c r="AC937" s="105" t="str">
        <f t="shared" si="62"/>
        <v>HL21</v>
      </c>
    </row>
    <row r="938" spans="1:29" x14ac:dyDescent="0.2">
      <c r="A938" s="9"/>
      <c r="B938" s="103">
        <v>-1</v>
      </c>
      <c r="D938" s="32"/>
      <c r="E938" s="103"/>
      <c r="F938" s="36"/>
      <c r="G938" s="92"/>
      <c r="H938" s="19" t="e">
        <f>IF(ISBLANK(B938),0,+#REF!/B938)</f>
        <v>#REF!</v>
      </c>
      <c r="J938" s="109">
        <f t="shared" si="59"/>
        <v>215</v>
      </c>
      <c r="K938" s="92">
        <f t="shared" si="60"/>
        <v>-0.04</v>
      </c>
      <c r="L938" s="92">
        <f>IF(ISBLANK($E938),0,IF($E938&lt;$C$877,ROUND($C$877*$L$876,2),IF($E938&gt;L$877,ROUND(L$877*L$876,2),ROUND($E938*L$876,2))))</f>
        <v>0</v>
      </c>
      <c r="M938" s="92">
        <f>IF($E938&gt;L$877,ROUND(($E938-L$877)*M$876,2),0)</f>
        <v>0</v>
      </c>
      <c r="N938" s="92"/>
      <c r="O938" s="92"/>
      <c r="P938" s="92"/>
      <c r="Q938" s="92"/>
      <c r="R938" s="16" t="e">
        <f>VLOOKUP((D939),'Pwr Factor'!$A$1:$B$52,2)</f>
        <v>#N/A</v>
      </c>
      <c r="S938" s="50">
        <v>0</v>
      </c>
      <c r="T938" s="92"/>
      <c r="U938" s="92"/>
      <c r="V938" s="32"/>
      <c r="W938" s="92"/>
      <c r="X938" s="92"/>
      <c r="Y938" s="92"/>
      <c r="Z938" s="92"/>
      <c r="AA938" s="92"/>
      <c r="AB938" s="19"/>
      <c r="AC938" s="105">
        <f t="shared" si="62"/>
        <v>0</v>
      </c>
    </row>
    <row r="939" spans="1:29" x14ac:dyDescent="0.2">
      <c r="A939" s="1" t="s">
        <v>147</v>
      </c>
      <c r="B939" s="103">
        <f>IF(AND('AES Indiana Bill Calc.'!$D$17="HL2",'AES Indiana Bill Calc.'!$D$18="No",'AES Indiana Bill Calc.'!$D$20="Yes 2021"),'AES Indiana Bill Calc.'!$D$19,-1)</f>
        <v>-1</v>
      </c>
      <c r="C939" s="103">
        <f>MAX(E939,$C$769)</f>
        <v>2000</v>
      </c>
      <c r="D939" s="103" t="b">
        <f>IF(AND('AES Indiana Bill Calc.'!$D$17="HL2",'AES Indiana Bill Calc.'!$D$18="No",'AES Indiana Bill Calc.'!$D$20="Yes 2021"),'AES Indiana Bill Calc.'!$D$22)</f>
        <v>0</v>
      </c>
      <c r="E939" s="103" t="b">
        <f>IF(AND('AES Indiana Bill Calc.'!$D$17="HL2",'AES Indiana Bill Calc.'!$D$18="No",'AES Indiana Bill Calc.'!$D$20="Yes 2021"),'AES Indiana Bill Calc.'!$D$21)</f>
        <v>0</v>
      </c>
      <c r="F939" s="36" t="s">
        <v>245</v>
      </c>
      <c r="G939" s="92" t="e">
        <f>SUM(J939:M939,R939:AA939)</f>
        <v>#N/A</v>
      </c>
      <c r="H939" s="19" t="e">
        <f>IF(ISBLANK(B939),0,+#REF!/B939)</f>
        <v>#REF!</v>
      </c>
      <c r="J939" s="109">
        <f t="shared" si="59"/>
        <v>215</v>
      </c>
      <c r="K939" s="92">
        <f t="shared" si="60"/>
        <v>-0.04</v>
      </c>
      <c r="L939" s="17">
        <f>IF(ISBLANK($C939),0,IF($C939&lt;$C$877,ROUND($C$877*$L$876,2),IF($C939&gt;L$877,ROUND(L$877*L$876,2),ROUND($C939*L$876,2))))</f>
        <v>50000</v>
      </c>
      <c r="M939" s="17">
        <f>IF($C939&gt;L$877,ROUND(($C939-L$877)*M$876,2),0)</f>
        <v>0</v>
      </c>
      <c r="N939" s="17">
        <f>K939</f>
        <v>-0.04</v>
      </c>
      <c r="O939" s="92"/>
      <c r="P939" s="92"/>
      <c r="Q939" s="17">
        <f>SUM(L939:M939)</f>
        <v>50000</v>
      </c>
      <c r="R939" s="110" t="e">
        <f>ROUND(SUM(K939:M939)*(R938-1),2)</f>
        <v>#N/A</v>
      </c>
      <c r="S939" s="92">
        <f>ROUND($B939*S$876*S938,2)</f>
        <v>0</v>
      </c>
      <c r="T939" s="92">
        <f>ROUND($B939*T$876,2)</f>
        <v>0</v>
      </c>
      <c r="U939" s="92">
        <f>ROUND($B939*U$876,2)</f>
        <v>0</v>
      </c>
      <c r="V939" s="32">
        <f>ROUND($B939*$V$872,2)</f>
        <v>0</v>
      </c>
      <c r="W939" s="92">
        <f>ROUND($B939*W$876,2)</f>
        <v>0</v>
      </c>
      <c r="X939" s="92">
        <f>ROUND($B939*X$876,2)</f>
        <v>0</v>
      </c>
      <c r="Y939" s="92">
        <f>ROUND($B939*Y$876,2)</f>
        <v>0</v>
      </c>
      <c r="Z939" s="92">
        <f>ROUND($B939*Z$876,2)</f>
        <v>0</v>
      </c>
      <c r="AA939" s="92">
        <f>ROUND($B939*AA$876,2)</f>
        <v>0</v>
      </c>
      <c r="AB939" s="19">
        <f>SUM(U$876:AA$876)+(-V$876+V925)</f>
        <v>2.3699999999999997E-3</v>
      </c>
      <c r="AC939" s="105" t="str">
        <f t="shared" si="62"/>
        <v>HL21</v>
      </c>
    </row>
    <row r="940" spans="1:29" x14ac:dyDescent="0.2">
      <c r="B940" s="103">
        <v>-1</v>
      </c>
      <c r="D940" s="32"/>
      <c r="E940" s="103"/>
      <c r="F940" s="36"/>
      <c r="G940" s="92"/>
      <c r="H940" s="19" t="e">
        <f>IF(ISBLANK(B940),0,+#REF!/B940)</f>
        <v>#REF!</v>
      </c>
      <c r="J940" s="109">
        <f t="shared" si="59"/>
        <v>215</v>
      </c>
      <c r="K940" s="92">
        <f t="shared" si="60"/>
        <v>-0.04</v>
      </c>
      <c r="L940" s="92">
        <f>IF(ISBLANK($E940),0,IF($E940&lt;$C$877,ROUND($C$877*$L$876,2),IF($E940&gt;L$877,ROUND(L$877*L$876,2),ROUND($E940*L$876,2))))</f>
        <v>0</v>
      </c>
      <c r="M940" s="92">
        <f>IF($E940&gt;L$877,ROUND(($E940-L$877)*M$876,2),0)</f>
        <v>0</v>
      </c>
      <c r="N940" s="92"/>
      <c r="O940" s="92"/>
      <c r="P940" s="92"/>
      <c r="Q940" s="92"/>
      <c r="R940" s="16" t="e">
        <f>VLOOKUP((D941),'Pwr Factor'!$A$1:$B$52,2)</f>
        <v>#N/A</v>
      </c>
      <c r="S940" s="50">
        <v>1</v>
      </c>
      <c r="T940" s="92"/>
      <c r="U940" s="92"/>
      <c r="V940" s="32"/>
      <c r="W940" s="92"/>
      <c r="X940" s="92"/>
      <c r="Y940" s="92"/>
      <c r="Z940" s="92"/>
      <c r="AA940" s="92"/>
      <c r="AB940" s="19"/>
      <c r="AC940" s="105">
        <f t="shared" si="62"/>
        <v>0</v>
      </c>
    </row>
    <row r="941" spans="1:29" x14ac:dyDescent="0.2">
      <c r="A941" s="1" t="s">
        <v>148</v>
      </c>
      <c r="B941" s="103">
        <f>IF(AND('AES Indiana Bill Calc.'!$D$17="HL2",'AES Indiana Bill Calc.'!$D$18="Yes 100%",'AES Indiana Bill Calc.'!$D$20="Yes 2022"),'AES Indiana Bill Calc.'!$D$19,-1)</f>
        <v>-1</v>
      </c>
      <c r="C941" s="103">
        <f>MAX(E941,$C$769)</f>
        <v>2000</v>
      </c>
      <c r="D941" s="103" t="b">
        <f>IF(AND('AES Indiana Bill Calc.'!$D$17="HL2",'AES Indiana Bill Calc.'!$D$18="Yes 100%",'AES Indiana Bill Calc.'!$D$20="Yes 2022"),'AES Indiana Bill Calc.'!$D$22)</f>
        <v>0</v>
      </c>
      <c r="E941" s="103" t="b">
        <f>IF(AND('AES Indiana Bill Calc.'!$D$17="HL2",'AES Indiana Bill Calc.'!$D$18="Yes 100%",'AES Indiana Bill Calc.'!$D$20="Yes 2022"),'AES Indiana Bill Calc.'!$D$21)</f>
        <v>0</v>
      </c>
      <c r="F941" s="36" t="s">
        <v>246</v>
      </c>
      <c r="G941" s="92" t="e">
        <f>SUM(J941:M941,R941:AA941)</f>
        <v>#N/A</v>
      </c>
      <c r="H941" s="19" t="e">
        <f>IF(ISBLANK(B941),0,+#REF!/B941)</f>
        <v>#REF!</v>
      </c>
      <c r="J941" s="109">
        <f t="shared" si="59"/>
        <v>215</v>
      </c>
      <c r="K941" s="92">
        <f t="shared" si="60"/>
        <v>-0.04</v>
      </c>
      <c r="L941" s="17">
        <f>IF(ISBLANK($C941),0,IF($C941&lt;$C$877,ROUND($C$877*$L$876,2),IF($C941&gt;L$877,ROUND(L$877*L$876,2),ROUND($C941*L$876,2))))</f>
        <v>50000</v>
      </c>
      <c r="M941" s="17">
        <f>IF($C941&gt;L$877,ROUND(($C941-L$877)*M$876,2),0)</f>
        <v>0</v>
      </c>
      <c r="N941" s="17">
        <f>K941</f>
        <v>-0.04</v>
      </c>
      <c r="O941" s="92"/>
      <c r="P941" s="92"/>
      <c r="Q941" s="17">
        <f>SUM(L941:M941)</f>
        <v>50000</v>
      </c>
      <c r="R941" s="110" t="e">
        <f>ROUND(SUM(K941:M941)*(R940-1),2)</f>
        <v>#N/A</v>
      </c>
      <c r="S941" s="92">
        <f>ROUND($B941*S$876*S940,2)</f>
        <v>0</v>
      </c>
      <c r="T941" s="92">
        <f>ROUND($B941*T$876,2)</f>
        <v>0</v>
      </c>
      <c r="U941" s="92">
        <f>ROUND($B941*U$876,2)</f>
        <v>0</v>
      </c>
      <c r="V941" s="32">
        <f>ROUND($B941*$V$873,2)</f>
        <v>0</v>
      </c>
      <c r="W941" s="92">
        <f>ROUND($B941*W$876,2)</f>
        <v>0</v>
      </c>
      <c r="X941" s="92">
        <f>ROUND($B941*X$876,2)</f>
        <v>0</v>
      </c>
      <c r="Y941" s="92">
        <f>ROUND($B941*Y$876,2)</f>
        <v>0</v>
      </c>
      <c r="Z941" s="92">
        <f>ROUND($B941*Z$876,2)</f>
        <v>0</v>
      </c>
      <c r="AA941" s="92">
        <f>ROUND($B941*AA$876,2)</f>
        <v>0</v>
      </c>
      <c r="AB941" s="19">
        <f>SUM(U$876:AA$876)+(-V$876+V927)</f>
        <v>2.3699999999999997E-3</v>
      </c>
      <c r="AC941" s="105" t="str">
        <f t="shared" si="62"/>
        <v>HL22</v>
      </c>
    </row>
    <row r="942" spans="1:29" x14ac:dyDescent="0.2">
      <c r="A942" s="9"/>
      <c r="B942" s="103">
        <v>-1</v>
      </c>
      <c r="D942" s="32"/>
      <c r="E942" s="103"/>
      <c r="F942" s="36"/>
      <c r="G942" s="92"/>
      <c r="H942" s="19" t="e">
        <f>IF(ISBLANK(B942),0,+#REF!/B942)</f>
        <v>#REF!</v>
      </c>
      <c r="J942" s="109">
        <f t="shared" si="59"/>
        <v>215</v>
      </c>
      <c r="K942" s="92">
        <f t="shared" si="60"/>
        <v>-0.04</v>
      </c>
      <c r="L942" s="92">
        <f>IF(ISBLANK($E942),0,IF($E942&lt;$C$877,ROUND($C$877*$L$876,2),IF($E942&gt;L$877,ROUND(L$877*L$876,2),ROUND($E942*L$876,2))))</f>
        <v>0</v>
      </c>
      <c r="M942" s="92">
        <f>IF($E942&gt;L$877,ROUND(($E942-L$877)*M$876,2),0)</f>
        <v>0</v>
      </c>
      <c r="N942" s="92"/>
      <c r="O942" s="92"/>
      <c r="P942" s="92"/>
      <c r="Q942" s="92"/>
      <c r="R942" s="16" t="e">
        <f>VLOOKUP((D943),'Pwr Factor'!$A$1:$B$52,2)</f>
        <v>#N/A</v>
      </c>
      <c r="S942" s="50">
        <v>0.5</v>
      </c>
      <c r="T942" s="92"/>
      <c r="U942" s="92"/>
      <c r="V942" s="32"/>
      <c r="W942" s="92"/>
      <c r="X942" s="92"/>
      <c r="Y942" s="92"/>
      <c r="Z942" s="92"/>
      <c r="AA942" s="92"/>
      <c r="AB942" s="19"/>
      <c r="AC942" s="105">
        <f t="shared" si="62"/>
        <v>0</v>
      </c>
    </row>
    <row r="943" spans="1:29" x14ac:dyDescent="0.2">
      <c r="A943" s="1" t="s">
        <v>149</v>
      </c>
      <c r="B943" s="103">
        <f>IF(AND('AES Indiana Bill Calc.'!$D$17="HL2",'AES Indiana Bill Calc.'!$D$18="Yes 50%",'AES Indiana Bill Calc.'!$D$20="Yes 2022"),'AES Indiana Bill Calc.'!$D$19,-1)</f>
        <v>-1</v>
      </c>
      <c r="C943" s="103">
        <f>MAX(E943,$C$769)</f>
        <v>2000</v>
      </c>
      <c r="D943" s="103" t="b">
        <f>IF(AND('AES Indiana Bill Calc.'!$D$17="HL2",'AES Indiana Bill Calc.'!$D$18="Yes 50%",'AES Indiana Bill Calc.'!$D$20="Yes 2022"),'AES Indiana Bill Calc.'!$D$22)</f>
        <v>0</v>
      </c>
      <c r="E943" s="103" t="b">
        <f>IF(AND('AES Indiana Bill Calc.'!$D$17="HL2",'AES Indiana Bill Calc.'!$D$18="Yes 50%",'AES Indiana Bill Calc.'!$D$20="Yes 2022"),'AES Indiana Bill Calc.'!$D$21)</f>
        <v>0</v>
      </c>
      <c r="F943" s="36" t="s">
        <v>246</v>
      </c>
      <c r="G943" s="92" t="e">
        <f>SUM(J943:M943,R943:AA943)</f>
        <v>#N/A</v>
      </c>
      <c r="H943" s="19" t="e">
        <f>IF(ISBLANK(B943),0,+#REF!/B943)</f>
        <v>#REF!</v>
      </c>
      <c r="J943" s="109">
        <f t="shared" si="59"/>
        <v>215</v>
      </c>
      <c r="K943" s="92">
        <f t="shared" si="60"/>
        <v>-0.04</v>
      </c>
      <c r="L943" s="17">
        <f>IF(ISBLANK($C943),0,IF($C943&lt;$C$877,ROUND($C$877*$L$876,2),IF($C943&gt;L$877,ROUND(L$877*L$876,2),ROUND($C943*L$876,2))))</f>
        <v>50000</v>
      </c>
      <c r="M943" s="17">
        <f>IF($C943&gt;L$877,ROUND(($C943-L$877)*M$876,2),0)</f>
        <v>0</v>
      </c>
      <c r="N943" s="17">
        <f>K943</f>
        <v>-0.04</v>
      </c>
      <c r="O943" s="92"/>
      <c r="P943" s="92"/>
      <c r="Q943" s="17">
        <f>SUM(L943:M943)</f>
        <v>50000</v>
      </c>
      <c r="R943" s="110" t="e">
        <f>ROUND(SUM(K943:M943)*(R942-1),2)</f>
        <v>#N/A</v>
      </c>
      <c r="S943" s="92">
        <f>ROUND($B943*S$876*S942,2)</f>
        <v>0</v>
      </c>
      <c r="T943" s="92">
        <f>ROUND($B943*T$876,2)</f>
        <v>0</v>
      </c>
      <c r="U943" s="92">
        <f>ROUND($B943*U$876,2)</f>
        <v>0</v>
      </c>
      <c r="V943" s="32">
        <f>ROUND($B943*$V$873,2)</f>
        <v>0</v>
      </c>
      <c r="W943" s="92">
        <f>ROUND($B943*W$876,2)</f>
        <v>0</v>
      </c>
      <c r="X943" s="92">
        <f>ROUND($B943*X$876,2)</f>
        <v>0</v>
      </c>
      <c r="Y943" s="92">
        <f>ROUND($B943*Y$876,2)</f>
        <v>0</v>
      </c>
      <c r="Z943" s="92">
        <f>ROUND($B943*Z$876,2)</f>
        <v>0</v>
      </c>
      <c r="AA943" s="92">
        <f>ROUND($B943*AA$876,2)</f>
        <v>0</v>
      </c>
      <c r="AB943" s="19">
        <f>SUM(U$876:AA$876)+(-V$876+V929)</f>
        <v>2.3699999999999997E-3</v>
      </c>
      <c r="AC943" s="105" t="str">
        <f t="shared" si="62"/>
        <v>HL22</v>
      </c>
    </row>
    <row r="944" spans="1:29" x14ac:dyDescent="0.2">
      <c r="A944" s="9"/>
      <c r="B944" s="103">
        <v>-1</v>
      </c>
      <c r="D944" s="32"/>
      <c r="E944" s="103"/>
      <c r="F944" s="36"/>
      <c r="G944" s="92"/>
      <c r="H944" s="19" t="e">
        <f>IF(ISBLANK(B944),0,+#REF!/B944)</f>
        <v>#REF!</v>
      </c>
      <c r="J944" s="109">
        <f t="shared" si="59"/>
        <v>215</v>
      </c>
      <c r="K944" s="92">
        <f t="shared" si="60"/>
        <v>-0.04</v>
      </c>
      <c r="L944" s="92">
        <f>IF(ISBLANK($E944),0,IF($E944&lt;$C$877,ROUND($C$877*$L$876,2),IF($E944&gt;L$877,ROUND(L$877*L$876,2),ROUND($E944*L$876,2))))</f>
        <v>0</v>
      </c>
      <c r="M944" s="92">
        <f>IF($E944&gt;L$877,ROUND(($E944-L$877)*M$876,2),0)</f>
        <v>0</v>
      </c>
      <c r="N944" s="92"/>
      <c r="O944" s="92"/>
      <c r="P944" s="92"/>
      <c r="Q944" s="92"/>
      <c r="R944" s="16" t="e">
        <f>VLOOKUP((D945),'Pwr Factor'!$A$1:$B$52,2)</f>
        <v>#N/A</v>
      </c>
      <c r="S944" s="50">
        <v>0.25</v>
      </c>
      <c r="T944" s="92"/>
      <c r="U944" s="92"/>
      <c r="V944" s="32"/>
      <c r="W944" s="92"/>
      <c r="X944" s="92"/>
      <c r="Y944" s="92"/>
      <c r="Z944" s="92"/>
      <c r="AA944" s="92"/>
      <c r="AB944" s="19"/>
      <c r="AC944" s="105">
        <f t="shared" si="62"/>
        <v>0</v>
      </c>
    </row>
    <row r="945" spans="1:29" x14ac:dyDescent="0.2">
      <c r="A945" s="1" t="s">
        <v>150</v>
      </c>
      <c r="B945" s="103">
        <f>IF(AND('AES Indiana Bill Calc.'!$D$17="HL2",'AES Indiana Bill Calc.'!$D$18="Yes 25%",'AES Indiana Bill Calc.'!$D$20="Yes 2022"),'AES Indiana Bill Calc.'!$D$19,-1)</f>
        <v>-1</v>
      </c>
      <c r="C945" s="103">
        <f>MAX(E945,$C$769)</f>
        <v>2000</v>
      </c>
      <c r="D945" s="103" t="b">
        <f>IF(AND('AES Indiana Bill Calc.'!$D$17="HL2",'AES Indiana Bill Calc.'!$D$18="Yes 25%",'AES Indiana Bill Calc.'!$D$20="Yes 2022"),'AES Indiana Bill Calc.'!$D$22)</f>
        <v>0</v>
      </c>
      <c r="E945" s="103" t="b">
        <f>IF(AND('AES Indiana Bill Calc.'!$D$17="HL2",'AES Indiana Bill Calc.'!$D$18="Yes 25%",'AES Indiana Bill Calc.'!$D$20="Yes 2022"),'AES Indiana Bill Calc.'!$D$21)</f>
        <v>0</v>
      </c>
      <c r="F945" s="36" t="s">
        <v>246</v>
      </c>
      <c r="G945" s="92" t="e">
        <f>SUM(J945:M945,R945:AA945)</f>
        <v>#N/A</v>
      </c>
      <c r="H945" s="19" t="e">
        <f>IF(ISBLANK(B945),0,+#REF!/B945)</f>
        <v>#REF!</v>
      </c>
      <c r="J945" s="109">
        <f t="shared" si="59"/>
        <v>215</v>
      </c>
      <c r="K945" s="92">
        <f t="shared" si="60"/>
        <v>-0.04</v>
      </c>
      <c r="L945" s="17">
        <f>IF(ISBLANK($C945),0,IF($C945&lt;$C$877,ROUND($C$877*$L$876,2),IF($C945&gt;L$877,ROUND(L$877*L$876,2),ROUND($C945*L$876,2))))</f>
        <v>50000</v>
      </c>
      <c r="M945" s="17">
        <f>IF($C945&gt;L$877,ROUND(($C945-L$877)*M$876,2),0)</f>
        <v>0</v>
      </c>
      <c r="N945" s="17">
        <f>K945</f>
        <v>-0.04</v>
      </c>
      <c r="O945" s="92"/>
      <c r="P945" s="92"/>
      <c r="Q945" s="17">
        <f>SUM(L945:M945)</f>
        <v>50000</v>
      </c>
      <c r="R945" s="110" t="e">
        <f>ROUND(SUM(K945:M945)*(R944-1),2)</f>
        <v>#N/A</v>
      </c>
      <c r="S945" s="92">
        <f>ROUND($B945*S$876*S944,2)</f>
        <v>0</v>
      </c>
      <c r="T945" s="92">
        <f>ROUND($B945*T$876,2)</f>
        <v>0</v>
      </c>
      <c r="U945" s="92">
        <f>ROUND($B945*U$876,2)</f>
        <v>0</v>
      </c>
      <c r="V945" s="32">
        <f>ROUND($B945*$V$873,2)</f>
        <v>0</v>
      </c>
      <c r="W945" s="92">
        <f>ROUND($B945*W$876,2)</f>
        <v>0</v>
      </c>
      <c r="X945" s="92">
        <f>ROUND($B945*X$876,2)</f>
        <v>0</v>
      </c>
      <c r="Y945" s="92">
        <f>ROUND($B945*Y$876,2)</f>
        <v>0</v>
      </c>
      <c r="Z945" s="92">
        <f>ROUND($B945*Z$876,2)</f>
        <v>0</v>
      </c>
      <c r="AA945" s="92">
        <f>ROUND($B945*AA$876,2)</f>
        <v>0</v>
      </c>
      <c r="AB945" s="19">
        <f>SUM(U$876:AA$876)+(-V$876+V931)</f>
        <v>2.3699999999999997E-3</v>
      </c>
      <c r="AC945" s="105" t="str">
        <f t="shared" si="62"/>
        <v>HL22</v>
      </c>
    </row>
    <row r="946" spans="1:29" x14ac:dyDescent="0.2">
      <c r="A946" s="9"/>
      <c r="B946" s="103">
        <v>-1</v>
      </c>
      <c r="D946" s="32"/>
      <c r="E946" s="103"/>
      <c r="F946" s="36"/>
      <c r="G946" s="92"/>
      <c r="H946" s="19" t="e">
        <f>IF(ISBLANK(B946),0,+#REF!/B946)</f>
        <v>#REF!</v>
      </c>
      <c r="J946" s="109">
        <f t="shared" si="59"/>
        <v>215</v>
      </c>
      <c r="K946" s="92">
        <f t="shared" si="60"/>
        <v>-0.04</v>
      </c>
      <c r="L946" s="92">
        <f>IF(ISBLANK($E946),0,IF($E946&lt;$C$877,ROUND($C$877*$L$876,2),IF($E946&gt;L$877,ROUND(L$877*L$876,2),ROUND($E946*L$876,2))))</f>
        <v>0</v>
      </c>
      <c r="M946" s="92">
        <f>IF($E946&gt;L$877,ROUND(($E946-L$877)*M$876,2),0)</f>
        <v>0</v>
      </c>
      <c r="N946" s="92"/>
      <c r="O946" s="92"/>
      <c r="P946" s="92"/>
      <c r="Q946" s="92"/>
      <c r="R946" s="16" t="e">
        <f>VLOOKUP((D947),'Pwr Factor'!$A$1:$B$52,2)</f>
        <v>#N/A</v>
      </c>
      <c r="S946" s="50">
        <v>0.1</v>
      </c>
      <c r="T946" s="92"/>
      <c r="U946" s="92"/>
      <c r="V946" s="32"/>
      <c r="W946" s="92"/>
      <c r="X946" s="92"/>
      <c r="Y946" s="92"/>
      <c r="Z946" s="92"/>
      <c r="AA946" s="92"/>
      <c r="AB946" s="19"/>
      <c r="AC946" s="105">
        <f t="shared" si="62"/>
        <v>0</v>
      </c>
    </row>
    <row r="947" spans="1:29" x14ac:dyDescent="0.2">
      <c r="A947" s="1" t="s">
        <v>164</v>
      </c>
      <c r="B947" s="103">
        <f>IF(AND('AES Indiana Bill Calc.'!$D$17="HL2",'AES Indiana Bill Calc.'!$D$18="Yes 10%",'AES Indiana Bill Calc.'!$D$20="Yes 2022"),'AES Indiana Bill Calc.'!$D$19,-1)</f>
        <v>-1</v>
      </c>
      <c r="C947" s="103">
        <f>MAX(E947,$C$769)</f>
        <v>2000</v>
      </c>
      <c r="D947" s="103" t="b">
        <f>IF(AND('AES Indiana Bill Calc.'!$D$17="HL2",'AES Indiana Bill Calc.'!$D$18="Yes 10%",'AES Indiana Bill Calc.'!$D$20="Yes 2022"),'AES Indiana Bill Calc.'!$D$22)</f>
        <v>0</v>
      </c>
      <c r="E947" s="103" t="b">
        <f>IF(AND('AES Indiana Bill Calc.'!$D$17="HL2",'AES Indiana Bill Calc.'!$D$18="Yes 10%",'AES Indiana Bill Calc.'!$D$20="Yes 2022"),'AES Indiana Bill Calc.'!$D$21)</f>
        <v>0</v>
      </c>
      <c r="F947" s="36" t="s">
        <v>246</v>
      </c>
      <c r="G947" s="92" t="e">
        <f>SUM(J947:M947,R947:AA947)</f>
        <v>#N/A</v>
      </c>
      <c r="H947" s="19" t="e">
        <f>IF(ISBLANK(B947),0,+#REF!/B947)</f>
        <v>#REF!</v>
      </c>
      <c r="J947" s="109">
        <f t="shared" si="59"/>
        <v>215</v>
      </c>
      <c r="K947" s="92">
        <f t="shared" si="60"/>
        <v>-0.04</v>
      </c>
      <c r="L947" s="17">
        <f>IF(ISBLANK($C947),0,IF($C947&lt;$C$877,ROUND($C$877*$L$876,2),IF($C947&gt;L$877,ROUND(L$877*L$876,2),ROUND($C947*L$876,2))))</f>
        <v>50000</v>
      </c>
      <c r="M947" s="17">
        <f>IF($C947&gt;L$877,ROUND(($C947-L$877)*M$876,2),0)</f>
        <v>0</v>
      </c>
      <c r="N947" s="17">
        <f>K947</f>
        <v>-0.04</v>
      </c>
      <c r="O947" s="92"/>
      <c r="P947" s="92"/>
      <c r="Q947" s="17">
        <f>SUM(L947:M947)</f>
        <v>50000</v>
      </c>
      <c r="R947" s="110" t="e">
        <f>ROUND(SUM(K947:M947)*(R946-1),2)</f>
        <v>#N/A</v>
      </c>
      <c r="S947" s="92">
        <f>ROUND($B947*S$876*S946,2)</f>
        <v>0</v>
      </c>
      <c r="T947" s="92">
        <f>ROUND($B947*T$876,2)</f>
        <v>0</v>
      </c>
      <c r="U947" s="92">
        <f>ROUND($B947*U$876,2)</f>
        <v>0</v>
      </c>
      <c r="V947" s="32">
        <f>ROUND($B947*$V$873,2)</f>
        <v>0</v>
      </c>
      <c r="W947" s="92">
        <f>ROUND($B947*W$876,2)</f>
        <v>0</v>
      </c>
      <c r="X947" s="92">
        <f>ROUND($B947*X$876,2)</f>
        <v>0</v>
      </c>
      <c r="Y947" s="92">
        <f>ROUND($B947*Y$876,2)</f>
        <v>0</v>
      </c>
      <c r="Z947" s="92">
        <f>ROUND($B947*Z$876,2)</f>
        <v>0</v>
      </c>
      <c r="AA947" s="92">
        <f>ROUND($B947*AA$876,2)</f>
        <v>0</v>
      </c>
      <c r="AB947" s="19">
        <f>SUM(U$876:AA$876)+(-V$876+V933)</f>
        <v>2.3699999999999997E-3</v>
      </c>
      <c r="AC947" s="105" t="str">
        <f t="shared" si="62"/>
        <v>HL22</v>
      </c>
    </row>
    <row r="948" spans="1:29" x14ac:dyDescent="0.2">
      <c r="A948" s="9"/>
      <c r="B948" s="103">
        <v>-1</v>
      </c>
      <c r="D948" s="32"/>
      <c r="E948" s="103"/>
      <c r="F948" s="36"/>
      <c r="G948" s="92"/>
      <c r="H948" s="19" t="e">
        <f>IF(ISBLANK(B948),0,+#REF!/B948)</f>
        <v>#REF!</v>
      </c>
      <c r="J948" s="109">
        <f t="shared" si="59"/>
        <v>215</v>
      </c>
      <c r="K948" s="92">
        <f t="shared" si="60"/>
        <v>-0.04</v>
      </c>
      <c r="L948" s="92">
        <f>IF(ISBLANK($E948),0,IF($E948&lt;$C$877,ROUND($C$877*$L$876,2),IF($E948&gt;L$877,ROUND(L$877*L$876,2),ROUND($E948*L$876,2))))</f>
        <v>0</v>
      </c>
      <c r="M948" s="92">
        <f>IF($E948&gt;L$877,ROUND(($E948-L$877)*M$876,2),0)</f>
        <v>0</v>
      </c>
      <c r="N948" s="92"/>
      <c r="O948" s="92"/>
      <c r="P948" s="92"/>
      <c r="Q948" s="92"/>
      <c r="R948" s="16" t="e">
        <f>VLOOKUP((D949),'Pwr Factor'!$A$1:$B$52,2)</f>
        <v>#N/A</v>
      </c>
      <c r="S948" s="50">
        <v>0</v>
      </c>
      <c r="T948" s="92"/>
      <c r="U948" s="92"/>
      <c r="V948" s="32"/>
      <c r="W948" s="92"/>
      <c r="X948" s="92"/>
      <c r="Y948" s="92"/>
      <c r="Z948" s="92"/>
      <c r="AA948" s="92"/>
      <c r="AB948" s="19"/>
      <c r="AC948" s="105">
        <f t="shared" si="62"/>
        <v>0</v>
      </c>
    </row>
    <row r="949" spans="1:29" x14ac:dyDescent="0.2">
      <c r="A949" s="1" t="s">
        <v>147</v>
      </c>
      <c r="B949" s="103">
        <f>IF(AND('AES Indiana Bill Calc.'!$D$17="HL2",'AES Indiana Bill Calc.'!$D$18="No",'AES Indiana Bill Calc.'!$D$20="Yes 2022"),'AES Indiana Bill Calc.'!$D$19,-1)</f>
        <v>-1</v>
      </c>
      <c r="C949" s="103">
        <f>MAX(E949,$C$769)</f>
        <v>2000</v>
      </c>
      <c r="D949" s="103" t="b">
        <f>IF(AND('AES Indiana Bill Calc.'!$D$17="HL2",'AES Indiana Bill Calc.'!$D$18="No",'AES Indiana Bill Calc.'!$D$20="Yes 2022"),'AES Indiana Bill Calc.'!$D$22)</f>
        <v>0</v>
      </c>
      <c r="E949" s="103" t="b">
        <f>IF(AND('AES Indiana Bill Calc.'!$D$17="HL2",'AES Indiana Bill Calc.'!$D$18="No",'AES Indiana Bill Calc.'!$D$20="Yes 2022"),'AES Indiana Bill Calc.'!$D$21)</f>
        <v>0</v>
      </c>
      <c r="F949" s="36" t="s">
        <v>246</v>
      </c>
      <c r="G949" s="92" t="e">
        <f>SUM(J949:M949,R949:AA949)</f>
        <v>#N/A</v>
      </c>
      <c r="H949" s="19" t="e">
        <f>IF(ISBLANK(B949),0,+#REF!/B949)</f>
        <v>#REF!</v>
      </c>
      <c r="J949" s="109">
        <f t="shared" si="59"/>
        <v>215</v>
      </c>
      <c r="K949" s="92">
        <f t="shared" si="60"/>
        <v>-0.04</v>
      </c>
      <c r="L949" s="17">
        <f>IF(ISBLANK($C949),0,IF($C949&lt;$C$877,ROUND($C$877*$L$876,2),IF($C949&gt;L$877,ROUND(L$877*L$876,2),ROUND($C949*L$876,2))))</f>
        <v>50000</v>
      </c>
      <c r="M949" s="17">
        <f>IF($C949&gt;L$877,ROUND(($C949-L$877)*M$876,2),0)</f>
        <v>0</v>
      </c>
      <c r="N949" s="17">
        <f>K949</f>
        <v>-0.04</v>
      </c>
      <c r="O949" s="92"/>
      <c r="P949" s="92"/>
      <c r="Q949" s="17">
        <f>SUM(L949:M949)</f>
        <v>50000</v>
      </c>
      <c r="R949" s="110" t="e">
        <f>ROUND(SUM(K949:M949)*(R948-1),2)</f>
        <v>#N/A</v>
      </c>
      <c r="S949" s="92">
        <f>ROUND($B949*S$876*S948,2)</f>
        <v>0</v>
      </c>
      <c r="T949" s="92">
        <f>ROUND($B949*T$876,2)</f>
        <v>0</v>
      </c>
      <c r="U949" s="92">
        <f>ROUND($B949*U$876,2)</f>
        <v>0</v>
      </c>
      <c r="V949" s="32">
        <f>ROUND($B949*$V$873,2)</f>
        <v>0</v>
      </c>
      <c r="W949" s="92">
        <f>ROUND($B949*W$876,2)</f>
        <v>0</v>
      </c>
      <c r="X949" s="92">
        <f>ROUND($B949*X$876,2)</f>
        <v>0</v>
      </c>
      <c r="Y949" s="92">
        <f>ROUND($B949*Y$876,2)</f>
        <v>0</v>
      </c>
      <c r="Z949" s="92">
        <f>ROUND($B949*Z$876,2)</f>
        <v>0</v>
      </c>
      <c r="AA949" s="92">
        <f>ROUND($B949*AA$876,2)</f>
        <v>0</v>
      </c>
      <c r="AB949" s="19">
        <f>SUM(U$876:AA$876)+(-V$876+V935)</f>
        <v>2.3699999999999997E-3</v>
      </c>
      <c r="AC949" s="105" t="str">
        <f t="shared" si="62"/>
        <v>HL22</v>
      </c>
    </row>
    <row r="950" spans="1:29" x14ac:dyDescent="0.2">
      <c r="B950" s="103">
        <v>-1</v>
      </c>
      <c r="D950" s="32"/>
      <c r="E950" s="103"/>
      <c r="F950" s="36"/>
      <c r="G950" s="92"/>
      <c r="H950" s="19" t="e">
        <f>IF(ISBLANK(B950),0,+#REF!/B950)</f>
        <v>#REF!</v>
      </c>
      <c r="J950" s="109">
        <f t="shared" si="59"/>
        <v>215</v>
      </c>
      <c r="K950" s="92">
        <f t="shared" si="60"/>
        <v>-0.04</v>
      </c>
      <c r="L950" s="92">
        <f>IF(ISBLANK($E950),0,IF($E950&lt;$C$877,ROUND($C$877*$L$876,2),IF($E950&gt;L$877,ROUND(L$877*L$876,2),ROUND($E950*L$876,2))))</f>
        <v>0</v>
      </c>
      <c r="M950" s="92">
        <f>IF($E950&gt;L$877,ROUND(($E950-L$877)*M$876,2),0)</f>
        <v>0</v>
      </c>
      <c r="N950" s="92"/>
      <c r="O950" s="92"/>
      <c r="P950" s="92"/>
      <c r="Q950" s="92"/>
      <c r="R950" s="16" t="e">
        <f>VLOOKUP((D951),'Pwr Factor'!$A$1:$B$52,2)</f>
        <v>#N/A</v>
      </c>
      <c r="S950" s="50">
        <v>1</v>
      </c>
      <c r="T950" s="92"/>
      <c r="U950" s="92"/>
      <c r="V950" s="32"/>
      <c r="W950" s="92"/>
      <c r="X950" s="92"/>
      <c r="Y950" s="92"/>
      <c r="Z950" s="92"/>
      <c r="AA950" s="92"/>
      <c r="AB950" s="19"/>
      <c r="AC950" s="105">
        <f t="shared" si="62"/>
        <v>0</v>
      </c>
    </row>
    <row r="951" spans="1:29" x14ac:dyDescent="0.2">
      <c r="A951" s="1" t="s">
        <v>148</v>
      </c>
      <c r="B951" s="103">
        <f>IF(AND('AES Indiana Bill Calc.'!$D$17="HL2",'AES Indiana Bill Calc.'!$D$18="Yes 100%",'AES Indiana Bill Calc.'!$D$20="Yes 2023"),'AES Indiana Bill Calc.'!$D$19,-1)</f>
        <v>-1</v>
      </c>
      <c r="C951" s="103">
        <f>MAX(E951,$C$769)</f>
        <v>2000</v>
      </c>
      <c r="D951" s="103" t="b">
        <f>IF(AND('AES Indiana Bill Calc.'!$D$17="HL2",'AES Indiana Bill Calc.'!$D$18="Yes 100%",'AES Indiana Bill Calc.'!$D$20="Yes 2023"),'AES Indiana Bill Calc.'!$D$22)</f>
        <v>0</v>
      </c>
      <c r="E951" s="103" t="b">
        <f>IF(AND('AES Indiana Bill Calc.'!$D$17="HL2",'AES Indiana Bill Calc.'!$D$18="Yes 100%",'AES Indiana Bill Calc.'!$D$20="Yes 2023"),'AES Indiana Bill Calc.'!$D$21)</f>
        <v>0</v>
      </c>
      <c r="F951" s="36" t="s">
        <v>302</v>
      </c>
      <c r="G951" s="92" t="e">
        <f>SUM(J951:M951,R951:AA951)</f>
        <v>#N/A</v>
      </c>
      <c r="H951" s="19" t="e">
        <f>IF(ISBLANK(B951),0,+#REF!/B951)</f>
        <v>#REF!</v>
      </c>
      <c r="J951" s="109">
        <f t="shared" si="59"/>
        <v>215</v>
      </c>
      <c r="K951" s="92">
        <f t="shared" si="60"/>
        <v>-0.04</v>
      </c>
      <c r="L951" s="17">
        <f>IF(ISBLANK($C951),0,IF($C951&lt;$C$877,ROUND($C$877*$L$876,2),IF($C951&gt;L$877,ROUND(L$877*L$876,2),ROUND($C951*L$876,2))))</f>
        <v>50000</v>
      </c>
      <c r="M951" s="17">
        <f>IF($C951&gt;L$877,ROUND(($C951-L$877)*M$876,2),0)</f>
        <v>0</v>
      </c>
      <c r="N951" s="17">
        <f>K951</f>
        <v>-0.04</v>
      </c>
      <c r="O951" s="92"/>
      <c r="P951" s="92"/>
      <c r="Q951" s="17">
        <f>SUM(L951:M951)</f>
        <v>50000</v>
      </c>
      <c r="R951" s="110" t="e">
        <f>ROUND(SUM(K951:M951)*(R950-1),2)</f>
        <v>#N/A</v>
      </c>
      <c r="S951" s="92">
        <f>ROUND($B951*S$876*S950,2)</f>
        <v>0</v>
      </c>
      <c r="T951" s="92">
        <f>ROUND($B951*T$876,2)</f>
        <v>0</v>
      </c>
      <c r="U951" s="92">
        <f>ROUND($B951*U$876,2)</f>
        <v>0</v>
      </c>
      <c r="V951" s="32">
        <f>ROUND($B951*$V$874,2)</f>
        <v>0</v>
      </c>
      <c r="W951" s="92">
        <f>ROUND($B951*W$876,2)</f>
        <v>0</v>
      </c>
      <c r="X951" s="92">
        <f>ROUND($B951*X$876,2)</f>
        <v>0</v>
      </c>
      <c r="Y951" s="92">
        <f>ROUND($B951*Y$876,2)</f>
        <v>0</v>
      </c>
      <c r="Z951" s="92">
        <f>ROUND($B951*Z$876,2)</f>
        <v>0</v>
      </c>
      <c r="AA951" s="92">
        <f>ROUND($B951*AA$876,2)</f>
        <v>0</v>
      </c>
      <c r="AB951" s="19">
        <f>SUM(U$876:AA$876)+(-V$876+V937)</f>
        <v>2.3699999999999997E-3</v>
      </c>
      <c r="AC951" s="105" t="str">
        <f t="shared" si="62"/>
        <v>HL23</v>
      </c>
    </row>
    <row r="952" spans="1:29" x14ac:dyDescent="0.2">
      <c r="A952" s="9"/>
      <c r="B952" s="103">
        <v>-1</v>
      </c>
      <c r="D952" s="32"/>
      <c r="E952" s="103"/>
      <c r="F952" s="36"/>
      <c r="G952" s="92"/>
      <c r="H952" s="19" t="e">
        <f>IF(ISBLANK(B952),0,+#REF!/B952)</f>
        <v>#REF!</v>
      </c>
      <c r="J952" s="109">
        <f t="shared" si="59"/>
        <v>215</v>
      </c>
      <c r="K952" s="92">
        <f t="shared" si="60"/>
        <v>-0.04</v>
      </c>
      <c r="L952" s="92">
        <f>IF(ISBLANK($E952),0,IF($E952&lt;$C$877,ROUND($C$877*$L$876,2),IF($E952&gt;L$877,ROUND(L$877*L$876,2),ROUND($E952*L$876,2))))</f>
        <v>0</v>
      </c>
      <c r="M952" s="92">
        <f>IF($E952&gt;L$877,ROUND(($E952-L$877)*M$876,2),0)</f>
        <v>0</v>
      </c>
      <c r="N952" s="92"/>
      <c r="O952" s="92"/>
      <c r="P952" s="92"/>
      <c r="Q952" s="92"/>
      <c r="R952" s="16" t="e">
        <f>VLOOKUP((D953),'Pwr Factor'!$A$1:$B$52,2)</f>
        <v>#N/A</v>
      </c>
      <c r="S952" s="50">
        <v>0.5</v>
      </c>
      <c r="T952" s="92"/>
      <c r="U952" s="92"/>
      <c r="V952" s="32"/>
      <c r="W952" s="92"/>
      <c r="X952" s="92"/>
      <c r="Y952" s="92"/>
      <c r="Z952" s="92"/>
      <c r="AA952" s="92"/>
      <c r="AB952" s="19"/>
      <c r="AC952" s="105">
        <f t="shared" si="62"/>
        <v>0</v>
      </c>
    </row>
    <row r="953" spans="1:29" x14ac:dyDescent="0.2">
      <c r="A953" s="1" t="s">
        <v>149</v>
      </c>
      <c r="B953" s="103">
        <f>IF(AND('AES Indiana Bill Calc.'!$D$17="HL2",'AES Indiana Bill Calc.'!$D$18="Yes 50%",'AES Indiana Bill Calc.'!$D$20="Yes 2023"),'AES Indiana Bill Calc.'!$D$19,-1)</f>
        <v>-1</v>
      </c>
      <c r="C953" s="103">
        <f>MAX(E953,$C$769)</f>
        <v>2000</v>
      </c>
      <c r="D953" s="103" t="b">
        <f>IF(AND('AES Indiana Bill Calc.'!$D$17="HL2",'AES Indiana Bill Calc.'!$D$18="Yes 50%",'AES Indiana Bill Calc.'!$D$20="Yes 2023"),'AES Indiana Bill Calc.'!$D$22)</f>
        <v>0</v>
      </c>
      <c r="E953" s="103" t="b">
        <f>IF(AND('AES Indiana Bill Calc.'!$D$17="HL2",'AES Indiana Bill Calc.'!$D$18="Yes 50%",'AES Indiana Bill Calc.'!$D$20="Yes 2023"),'AES Indiana Bill Calc.'!$D$21)</f>
        <v>0</v>
      </c>
      <c r="F953" s="36" t="s">
        <v>302</v>
      </c>
      <c r="G953" s="92" t="e">
        <f>SUM(J953:M953,R953:AA953)</f>
        <v>#N/A</v>
      </c>
      <c r="H953" s="19" t="e">
        <f>IF(ISBLANK(B953),0,+#REF!/B953)</f>
        <v>#REF!</v>
      </c>
      <c r="J953" s="109">
        <f t="shared" ref="J953:J962" si="63">IF(ISBLANK(B953),0,+J$876)</f>
        <v>215</v>
      </c>
      <c r="K953" s="92">
        <f t="shared" ref="K953:K969" si="64">ROUND($B953*K$876,2)</f>
        <v>-0.04</v>
      </c>
      <c r="L953" s="17">
        <f>IF(ISBLANK($C953),0,IF($C953&lt;$C$877,ROUND($C$877*$L$876,2),IF($C953&gt;L$877,ROUND(L$877*L$876,2),ROUND($C953*L$876,2))))</f>
        <v>50000</v>
      </c>
      <c r="M953" s="17">
        <f>IF($C953&gt;L$877,ROUND(($C953-L$877)*M$876,2),0)</f>
        <v>0</v>
      </c>
      <c r="N953" s="17">
        <f>K953</f>
        <v>-0.04</v>
      </c>
      <c r="O953" s="92"/>
      <c r="P953" s="92"/>
      <c r="Q953" s="17">
        <f>SUM(L953:M953)</f>
        <v>50000</v>
      </c>
      <c r="R953" s="110" t="e">
        <f>ROUND(SUM(K953:M953)*(R952-1),2)</f>
        <v>#N/A</v>
      </c>
      <c r="S953" s="92">
        <f>ROUND($B953*S$876*S952,2)</f>
        <v>0</v>
      </c>
      <c r="T953" s="92">
        <f>ROUND($B953*T$876,2)</f>
        <v>0</v>
      </c>
      <c r="U953" s="92">
        <f>ROUND($B953*U$876,2)</f>
        <v>0</v>
      </c>
      <c r="V953" s="32">
        <f>ROUND($B953*$V$874,2)</f>
        <v>0</v>
      </c>
      <c r="W953" s="92">
        <f>ROUND($B953*W$876,2)</f>
        <v>0</v>
      </c>
      <c r="X953" s="92">
        <f>ROUND($B953*X$876,2)</f>
        <v>0</v>
      </c>
      <c r="Y953" s="92">
        <f>ROUND($B953*Y$876,2)</f>
        <v>0</v>
      </c>
      <c r="Z953" s="92">
        <f>ROUND($B953*Z$876,2)</f>
        <v>0</v>
      </c>
      <c r="AA953" s="92">
        <f>ROUND($B953*AA$876,2)</f>
        <v>0</v>
      </c>
      <c r="AB953" s="19">
        <f>SUM(U$876:AA$876)+(-V$876+V939)</f>
        <v>2.3699999999999997E-3</v>
      </c>
      <c r="AC953" s="105" t="str">
        <f t="shared" ref="AC953:AC962" si="65">+F953</f>
        <v>HL23</v>
      </c>
    </row>
    <row r="954" spans="1:29" x14ac:dyDescent="0.2">
      <c r="A954" s="9"/>
      <c r="B954" s="103">
        <v>-1</v>
      </c>
      <c r="D954" s="32"/>
      <c r="E954" s="103"/>
      <c r="F954" s="36"/>
      <c r="G954" s="92"/>
      <c r="H954" s="19" t="e">
        <f>IF(ISBLANK(B954),0,+#REF!/B954)</f>
        <v>#REF!</v>
      </c>
      <c r="J954" s="109">
        <f t="shared" si="63"/>
        <v>215</v>
      </c>
      <c r="K954" s="92">
        <f t="shared" si="64"/>
        <v>-0.04</v>
      </c>
      <c r="L954" s="92">
        <f>IF(ISBLANK($E954),0,IF($E954&lt;$C$877,ROUND($C$877*$L$876,2),IF($E954&gt;L$877,ROUND(L$877*L$876,2),ROUND($E954*L$876,2))))</f>
        <v>0</v>
      </c>
      <c r="M954" s="92">
        <f>IF($E954&gt;L$877,ROUND(($E954-L$877)*M$876,2),0)</f>
        <v>0</v>
      </c>
      <c r="N954" s="92"/>
      <c r="O954" s="92"/>
      <c r="P954" s="92"/>
      <c r="Q954" s="92"/>
      <c r="R954" s="16" t="e">
        <f>VLOOKUP((D955),'Pwr Factor'!$A$1:$B$52,2)</f>
        <v>#N/A</v>
      </c>
      <c r="S954" s="50">
        <v>0.25</v>
      </c>
      <c r="T954" s="92"/>
      <c r="U954" s="92"/>
      <c r="V954" s="32"/>
      <c r="W954" s="92"/>
      <c r="X954" s="92"/>
      <c r="Y954" s="92"/>
      <c r="Z954" s="92"/>
      <c r="AA954" s="92"/>
      <c r="AB954" s="19"/>
      <c r="AC954" s="105">
        <f t="shared" si="65"/>
        <v>0</v>
      </c>
    </row>
    <row r="955" spans="1:29" x14ac:dyDescent="0.2">
      <c r="A955" s="1" t="s">
        <v>150</v>
      </c>
      <c r="B955" s="103">
        <f>IF(AND('AES Indiana Bill Calc.'!$D$17="HL2",'AES Indiana Bill Calc.'!$D$18="Yes 25%",'AES Indiana Bill Calc.'!$D$20="Yes 2023"),'AES Indiana Bill Calc.'!$D$19,-1)</f>
        <v>-1</v>
      </c>
      <c r="C955" s="103">
        <f>MAX(E955,$C$769)</f>
        <v>2000</v>
      </c>
      <c r="D955" s="103" t="b">
        <f>IF(AND('AES Indiana Bill Calc.'!$D$17="HL2",'AES Indiana Bill Calc.'!$D$18="Yes 25%",'AES Indiana Bill Calc.'!$D$20="Yes 2023"),'AES Indiana Bill Calc.'!$D$22)</f>
        <v>0</v>
      </c>
      <c r="E955" s="103" t="b">
        <f>IF(AND('AES Indiana Bill Calc.'!$D$17="HL2",'AES Indiana Bill Calc.'!$D$18="Yes 25%",'AES Indiana Bill Calc.'!$D$20="Yes 2023"),'AES Indiana Bill Calc.'!$D$21)</f>
        <v>0</v>
      </c>
      <c r="F955" s="36" t="s">
        <v>302</v>
      </c>
      <c r="G955" s="92" t="e">
        <f>SUM(J955:M955,R955:AA955)</f>
        <v>#N/A</v>
      </c>
      <c r="H955" s="19" t="e">
        <f>IF(ISBLANK(B955),0,+#REF!/B955)</f>
        <v>#REF!</v>
      </c>
      <c r="J955" s="109">
        <f t="shared" si="63"/>
        <v>215</v>
      </c>
      <c r="K955" s="92">
        <f t="shared" si="64"/>
        <v>-0.04</v>
      </c>
      <c r="L955" s="17">
        <f>IF(ISBLANK($C955),0,IF($C955&lt;$C$877,ROUND($C$877*$L$876,2),IF($C955&gt;L$877,ROUND(L$877*L$876,2),ROUND($C955*L$876,2))))</f>
        <v>50000</v>
      </c>
      <c r="M955" s="17">
        <f>IF($C955&gt;L$877,ROUND(($C955-L$877)*M$876,2),0)</f>
        <v>0</v>
      </c>
      <c r="N955" s="17">
        <f>K955</f>
        <v>-0.04</v>
      </c>
      <c r="O955" s="92"/>
      <c r="P955" s="92"/>
      <c r="Q955" s="17">
        <f>SUM(L955:M955)</f>
        <v>50000</v>
      </c>
      <c r="R955" s="110" t="e">
        <f>ROUND(SUM(K955:M955)*(R954-1),2)</f>
        <v>#N/A</v>
      </c>
      <c r="S955" s="92">
        <f>ROUND($B955*S$876*S954,2)</f>
        <v>0</v>
      </c>
      <c r="T955" s="92">
        <f>ROUND($B955*T$876,2)</f>
        <v>0</v>
      </c>
      <c r="U955" s="92">
        <f>ROUND($B955*U$876,2)</f>
        <v>0</v>
      </c>
      <c r="V955" s="32">
        <f>ROUND($B955*$V$874,2)</f>
        <v>0</v>
      </c>
      <c r="W955" s="92">
        <f>ROUND($B955*W$876,2)</f>
        <v>0</v>
      </c>
      <c r="X955" s="92">
        <f>ROUND($B955*X$876,2)</f>
        <v>0</v>
      </c>
      <c r="Y955" s="92">
        <f>ROUND($B955*Y$876,2)</f>
        <v>0</v>
      </c>
      <c r="Z955" s="92">
        <f>ROUND($B955*Z$876,2)</f>
        <v>0</v>
      </c>
      <c r="AA955" s="92">
        <f>ROUND($B955*AA$876,2)</f>
        <v>0</v>
      </c>
      <c r="AB955" s="19">
        <f>SUM(U$876:AA$876)+(-V$876+V941)</f>
        <v>2.3699999999999997E-3</v>
      </c>
      <c r="AC955" s="105" t="str">
        <f t="shared" si="65"/>
        <v>HL23</v>
      </c>
    </row>
    <row r="956" spans="1:29" x14ac:dyDescent="0.2">
      <c r="A956" s="9"/>
      <c r="B956" s="103">
        <v>-1</v>
      </c>
      <c r="D956" s="32"/>
      <c r="E956" s="103"/>
      <c r="F956" s="36"/>
      <c r="G956" s="92"/>
      <c r="H956" s="19" t="e">
        <f>IF(ISBLANK(B956),0,+#REF!/B956)</f>
        <v>#REF!</v>
      </c>
      <c r="J956" s="109">
        <f t="shared" si="63"/>
        <v>215</v>
      </c>
      <c r="K956" s="92">
        <f t="shared" si="64"/>
        <v>-0.04</v>
      </c>
      <c r="L956" s="92">
        <f>IF(ISBLANK($E956),0,IF($E956&lt;$C$877,ROUND($C$877*$L$876,2),IF($E956&gt;L$877,ROUND(L$877*L$876,2),ROUND($E956*L$876,2))))</f>
        <v>0</v>
      </c>
      <c r="M956" s="92">
        <f>IF($E956&gt;L$877,ROUND(($E956-L$877)*M$876,2),0)</f>
        <v>0</v>
      </c>
      <c r="N956" s="92"/>
      <c r="O956" s="92"/>
      <c r="P956" s="92"/>
      <c r="Q956" s="92"/>
      <c r="R956" s="16" t="e">
        <f>VLOOKUP((D957),'Pwr Factor'!$A$1:$B$52,2)</f>
        <v>#N/A</v>
      </c>
      <c r="S956" s="50">
        <v>0.1</v>
      </c>
      <c r="T956" s="92"/>
      <c r="U956" s="92"/>
      <c r="V956" s="32"/>
      <c r="W956" s="92"/>
      <c r="X956" s="92"/>
      <c r="Y956" s="92"/>
      <c r="Z956" s="92"/>
      <c r="AA956" s="92"/>
      <c r="AB956" s="19"/>
      <c r="AC956" s="105">
        <f t="shared" si="65"/>
        <v>0</v>
      </c>
    </row>
    <row r="957" spans="1:29" x14ac:dyDescent="0.2">
      <c r="A957" s="1" t="s">
        <v>164</v>
      </c>
      <c r="B957" s="103">
        <f>IF(AND('AES Indiana Bill Calc.'!$D$17="HL2",'AES Indiana Bill Calc.'!$D$18="Yes 10%",'AES Indiana Bill Calc.'!$D$20="Yes 2023"),'AES Indiana Bill Calc.'!$D$19,-1)</f>
        <v>-1</v>
      </c>
      <c r="C957" s="103">
        <f>MAX(E957,$C$769)</f>
        <v>2000</v>
      </c>
      <c r="D957" s="103" t="b">
        <f>IF(AND('AES Indiana Bill Calc.'!$D$17="HL2",'AES Indiana Bill Calc.'!$D$18="Yes 10%",'AES Indiana Bill Calc.'!$D$20="Yes 2023"),'AES Indiana Bill Calc.'!$D$22)</f>
        <v>0</v>
      </c>
      <c r="E957" s="103" t="b">
        <f>IF(AND('AES Indiana Bill Calc.'!$D$17="HL2",'AES Indiana Bill Calc.'!$D$18="Yes 10%",'AES Indiana Bill Calc.'!$D$20="Yes 2023"),'AES Indiana Bill Calc.'!$D$21)</f>
        <v>0</v>
      </c>
      <c r="F957" s="36" t="s">
        <v>302</v>
      </c>
      <c r="G957" s="92" t="e">
        <f>SUM(J957:M957,R957:AA957)</f>
        <v>#N/A</v>
      </c>
      <c r="H957" s="19" t="e">
        <f>IF(ISBLANK(B957),0,+#REF!/B957)</f>
        <v>#REF!</v>
      </c>
      <c r="J957" s="109">
        <f t="shared" si="63"/>
        <v>215</v>
      </c>
      <c r="K957" s="92">
        <f t="shared" si="64"/>
        <v>-0.04</v>
      </c>
      <c r="L957" s="17">
        <f>IF(ISBLANK($C957),0,IF($C957&lt;$C$877,ROUND($C$877*$L$876,2),IF($C957&gt;L$877,ROUND(L$877*L$876,2),ROUND($C957*L$876,2))))</f>
        <v>50000</v>
      </c>
      <c r="M957" s="17">
        <f>IF($C957&gt;L$877,ROUND(($C957-L$877)*M$876,2),0)</f>
        <v>0</v>
      </c>
      <c r="N957" s="17">
        <f>K957</f>
        <v>-0.04</v>
      </c>
      <c r="O957" s="92"/>
      <c r="P957" s="92"/>
      <c r="Q957" s="17">
        <f>SUM(L957:M957)</f>
        <v>50000</v>
      </c>
      <c r="R957" s="110" t="e">
        <f>ROUND(SUM(K957:M957)*(R956-1),2)</f>
        <v>#N/A</v>
      </c>
      <c r="S957" s="92">
        <f>ROUND($B957*S$876*S956,2)</f>
        <v>0</v>
      </c>
      <c r="T957" s="92">
        <f>ROUND($B957*T$876,2)</f>
        <v>0</v>
      </c>
      <c r="U957" s="92">
        <f>ROUND($B957*U$876,2)</f>
        <v>0</v>
      </c>
      <c r="V957" s="32">
        <f>ROUND($B957*$V$874,2)</f>
        <v>0</v>
      </c>
      <c r="W957" s="92">
        <f>ROUND($B957*W$876,2)</f>
        <v>0</v>
      </c>
      <c r="X957" s="92">
        <f>ROUND($B957*X$876,2)</f>
        <v>0</v>
      </c>
      <c r="Y957" s="92">
        <f>ROUND($B957*Y$876,2)</f>
        <v>0</v>
      </c>
      <c r="Z957" s="92">
        <f>ROUND($B957*Z$876,2)</f>
        <v>0</v>
      </c>
      <c r="AA957" s="92">
        <f>ROUND($B957*AA$876,2)</f>
        <v>0</v>
      </c>
      <c r="AB957" s="19">
        <f>SUM(U$876:AA$876)+(-V$876+V943)</f>
        <v>2.3699999999999997E-3</v>
      </c>
      <c r="AC957" s="105" t="str">
        <f t="shared" si="65"/>
        <v>HL23</v>
      </c>
    </row>
    <row r="958" spans="1:29" x14ac:dyDescent="0.2">
      <c r="A958" s="9"/>
      <c r="B958" s="103">
        <v>-1</v>
      </c>
      <c r="D958" s="32"/>
      <c r="E958" s="103"/>
      <c r="F958" s="36"/>
      <c r="G958" s="92"/>
      <c r="H958" s="19" t="e">
        <f>IF(ISBLANK(B958),0,+#REF!/B958)</f>
        <v>#REF!</v>
      </c>
      <c r="J958" s="109">
        <f t="shared" si="63"/>
        <v>215</v>
      </c>
      <c r="K958" s="92">
        <f t="shared" si="64"/>
        <v>-0.04</v>
      </c>
      <c r="L958" s="92">
        <f>IF(ISBLANK($E958),0,IF($E958&lt;$C$877,ROUND($C$877*$L$876,2),IF($E958&gt;L$877,ROUND(L$877*L$876,2),ROUND($E958*L$876,2))))</f>
        <v>0</v>
      </c>
      <c r="M958" s="92">
        <f>IF($E958&gt;L$877,ROUND(($E958-L$877)*M$876,2),0)</f>
        <v>0</v>
      </c>
      <c r="N958" s="92"/>
      <c r="O958" s="92"/>
      <c r="P958" s="92"/>
      <c r="Q958" s="92"/>
      <c r="R958" s="16" t="e">
        <f>VLOOKUP((D959),'Pwr Factor'!$A$1:$B$52,2)</f>
        <v>#N/A</v>
      </c>
      <c r="S958" s="50">
        <v>0</v>
      </c>
      <c r="T958" s="92"/>
      <c r="U958" s="92"/>
      <c r="V958" s="32"/>
      <c r="W958" s="92"/>
      <c r="X958" s="92"/>
      <c r="Y958" s="92"/>
      <c r="Z958" s="92"/>
      <c r="AA958" s="92"/>
      <c r="AB958" s="19"/>
      <c r="AC958" s="105">
        <f t="shared" si="65"/>
        <v>0</v>
      </c>
    </row>
    <row r="959" spans="1:29" x14ac:dyDescent="0.2">
      <c r="A959" s="1" t="s">
        <v>147</v>
      </c>
      <c r="B959" s="103">
        <f>IF(AND('AES Indiana Bill Calc.'!$D$17="HL2",'AES Indiana Bill Calc.'!$D$18="No",'AES Indiana Bill Calc.'!$D$20="Yes 2023"),'AES Indiana Bill Calc.'!$D$19,-1)</f>
        <v>-1</v>
      </c>
      <c r="C959" s="103">
        <f>MAX(E959,$C$769)</f>
        <v>2000</v>
      </c>
      <c r="D959" s="103" t="b">
        <f>IF(AND('AES Indiana Bill Calc.'!$D$17="HL2",'AES Indiana Bill Calc.'!$D$18="No",'AES Indiana Bill Calc.'!$D$20="Yes 2023"),'AES Indiana Bill Calc.'!$D$22)</f>
        <v>0</v>
      </c>
      <c r="E959" s="103" t="b">
        <f>IF(AND('AES Indiana Bill Calc.'!$D$17="HL2",'AES Indiana Bill Calc.'!$D$18="No",'AES Indiana Bill Calc.'!$D$20="Yes 2023"),'AES Indiana Bill Calc.'!$D$21)</f>
        <v>0</v>
      </c>
      <c r="F959" s="36" t="s">
        <v>302</v>
      </c>
      <c r="G959" s="92" t="e">
        <f>SUM(J959:M959,R959:AA959)</f>
        <v>#N/A</v>
      </c>
      <c r="H959" s="19" t="e">
        <f>IF(ISBLANK(B959),0,+#REF!/B959)</f>
        <v>#REF!</v>
      </c>
      <c r="J959" s="109">
        <f t="shared" si="63"/>
        <v>215</v>
      </c>
      <c r="K959" s="92">
        <f t="shared" si="64"/>
        <v>-0.04</v>
      </c>
      <c r="L959" s="17">
        <f>IF(ISBLANK($C959),0,IF($C959&lt;$C$877,ROUND($C$877*$L$876,2),IF($C959&gt;L$877,ROUND(L$877*L$876,2),ROUND($C959*L$876,2))))</f>
        <v>50000</v>
      </c>
      <c r="M959" s="17">
        <f>IF($C959&gt;L$877,ROUND(($C959-L$877)*M$876,2),0)</f>
        <v>0</v>
      </c>
      <c r="N959" s="17">
        <f>K959</f>
        <v>-0.04</v>
      </c>
      <c r="O959" s="92"/>
      <c r="P959" s="92"/>
      <c r="Q959" s="17">
        <f>SUM(L959:M959)</f>
        <v>50000</v>
      </c>
      <c r="R959" s="110" t="e">
        <f>ROUND(SUM(K959:M959)*(R958-1),2)</f>
        <v>#N/A</v>
      </c>
      <c r="S959" s="92">
        <f>ROUND($B959*S$876*S958,2)</f>
        <v>0</v>
      </c>
      <c r="T959" s="92">
        <f>ROUND($B959*T$876,2)</f>
        <v>0</v>
      </c>
      <c r="U959" s="92">
        <f>ROUND($B959*U$876,2)</f>
        <v>0</v>
      </c>
      <c r="V959" s="32">
        <f>ROUND($B959*$V$874,2)</f>
        <v>0</v>
      </c>
      <c r="W959" s="92">
        <f>ROUND($B959*W$876,2)</f>
        <v>0</v>
      </c>
      <c r="X959" s="92">
        <f>ROUND($B959*X$876,2)</f>
        <v>0</v>
      </c>
      <c r="Y959" s="92">
        <f>ROUND($B959*Y$876,2)</f>
        <v>0</v>
      </c>
      <c r="Z959" s="92">
        <f>ROUND($B959*Z$876,2)</f>
        <v>0</v>
      </c>
      <c r="AA959" s="92">
        <f>ROUND($B959*AA$876,2)</f>
        <v>0</v>
      </c>
      <c r="AB959" s="19">
        <f>SUM(U$876:AA$876)+(-V$876+V945)</f>
        <v>2.3699999999999997E-3</v>
      </c>
      <c r="AC959" s="105" t="str">
        <f t="shared" si="65"/>
        <v>HL23</v>
      </c>
    </row>
    <row r="960" spans="1:29" x14ac:dyDescent="0.2">
      <c r="B960" s="103">
        <v>-1</v>
      </c>
      <c r="D960" s="32"/>
      <c r="E960" s="103"/>
      <c r="F960" s="36"/>
      <c r="G960" s="92"/>
      <c r="H960" s="19" t="e">
        <f>IF(ISBLANK(B960),0,+#REF!/B960)</f>
        <v>#REF!</v>
      </c>
      <c r="J960" s="109">
        <f t="shared" si="63"/>
        <v>215</v>
      </c>
      <c r="K960" s="92">
        <f t="shared" si="64"/>
        <v>-0.04</v>
      </c>
      <c r="L960" s="92">
        <f>IF(ISBLANK($E960),0,IF($E960&lt;$C$877,ROUND($C$877*$L$876,2),IF($E960&gt;L$877,ROUND(L$877*L$876,2),ROUND($E960*L$876,2))))</f>
        <v>0</v>
      </c>
      <c r="M960" s="92">
        <f>IF($E960&gt;L$877,ROUND(($E960-L$877)*M$876,2),0)</f>
        <v>0</v>
      </c>
      <c r="N960" s="92"/>
      <c r="O960" s="92"/>
      <c r="P960" s="92"/>
      <c r="Q960" s="92"/>
      <c r="R960" s="16" t="e">
        <f>VLOOKUP((D961),'Pwr Factor'!$A$1:$B$52,2)</f>
        <v>#N/A</v>
      </c>
      <c r="S960" s="50">
        <v>1</v>
      </c>
      <c r="T960" s="92"/>
      <c r="U960" s="92"/>
      <c r="V960" s="32"/>
      <c r="W960" s="92"/>
      <c r="X960" s="92"/>
      <c r="Y960" s="92"/>
      <c r="Z960" s="92"/>
      <c r="AA960" s="92"/>
      <c r="AB960" s="19"/>
      <c r="AC960" s="105">
        <f t="shared" si="65"/>
        <v>0</v>
      </c>
    </row>
    <row r="961" spans="1:29" x14ac:dyDescent="0.2">
      <c r="A961" s="1" t="s">
        <v>148</v>
      </c>
      <c r="B961" s="103">
        <f>IF(AND('AES Indiana Bill Calc.'!$D$17="HL2",'AES Indiana Bill Calc.'!$D$18="Yes 100%",'AES Indiana Bill Calc.'!$D$20="Yes 2024"),'AES Indiana Bill Calc.'!$D$19,-1)</f>
        <v>-1</v>
      </c>
      <c r="C961" s="103">
        <f>MAX(E961,$C$769)</f>
        <v>2000</v>
      </c>
      <c r="D961" s="103" t="b">
        <f>IF(AND('AES Indiana Bill Calc.'!$D$17="HL2",'AES Indiana Bill Calc.'!$D$18="Yes 100%",'AES Indiana Bill Calc.'!$D$20="Yes 2024"),'AES Indiana Bill Calc.'!$D$22)</f>
        <v>0</v>
      </c>
      <c r="E961" s="103" t="b">
        <f>IF(AND('AES Indiana Bill Calc.'!$D$17="HL2",'AES Indiana Bill Calc.'!$D$18="Yes 100%",'AES Indiana Bill Calc.'!$D$20="Yes 2024"),'AES Indiana Bill Calc.'!$D$21)</f>
        <v>0</v>
      </c>
      <c r="F961" s="36" t="s">
        <v>303</v>
      </c>
      <c r="G961" s="92" t="e">
        <f>SUM(J961:M961,R961:AA961)</f>
        <v>#N/A</v>
      </c>
      <c r="H961" s="19" t="e">
        <f>IF(ISBLANK(B961),0,+#REF!/B961)</f>
        <v>#REF!</v>
      </c>
      <c r="J961" s="109">
        <f t="shared" si="63"/>
        <v>215</v>
      </c>
      <c r="K961" s="92">
        <f t="shared" si="64"/>
        <v>-0.04</v>
      </c>
      <c r="L961" s="17">
        <f>IF(ISBLANK($C961),0,IF($C961&lt;$C$877,ROUND($C$877*$L$876,2),IF($C961&gt;L$877,ROUND(L$877*L$876,2),ROUND($C961*L$876,2))))</f>
        <v>50000</v>
      </c>
      <c r="M961" s="17">
        <f>IF($C961&gt;L$877,ROUND(($C961-L$877)*M$876,2),0)</f>
        <v>0</v>
      </c>
      <c r="N961" s="17">
        <f>K961</f>
        <v>-0.04</v>
      </c>
      <c r="O961" s="92"/>
      <c r="P961" s="92"/>
      <c r="Q961" s="17">
        <f>SUM(L961:M961)</f>
        <v>50000</v>
      </c>
      <c r="R961" s="110" t="e">
        <f>ROUND(SUM(K961:M961)*(R960-1),2)</f>
        <v>#N/A</v>
      </c>
      <c r="S961" s="92">
        <f>ROUND($B961*S$876*S960,2)</f>
        <v>0</v>
      </c>
      <c r="T961" s="92">
        <f>ROUND($B961*T$876,2)</f>
        <v>0</v>
      </c>
      <c r="U961" s="92">
        <f>ROUND($B961*U$876,2)</f>
        <v>0</v>
      </c>
      <c r="V961" s="32">
        <f>ROUND($B961*$V$875,2)</f>
        <v>0</v>
      </c>
      <c r="W961" s="92">
        <f>ROUND($B961*W$876,2)</f>
        <v>0</v>
      </c>
      <c r="X961" s="92">
        <f>ROUND($B961*X$876,2)</f>
        <v>0</v>
      </c>
      <c r="Y961" s="92">
        <f>ROUND($B961*Y$876,2)</f>
        <v>0</v>
      </c>
      <c r="Z961" s="92">
        <f>ROUND($B961*Z$876,2)</f>
        <v>0</v>
      </c>
      <c r="AA961" s="92">
        <f>ROUND($B961*AA$876,2)</f>
        <v>0</v>
      </c>
      <c r="AB961" s="19">
        <f>SUM(U$876:AA$876)+(-V$876+V947)</f>
        <v>2.3699999999999997E-3</v>
      </c>
      <c r="AC961" s="105" t="str">
        <f t="shared" si="65"/>
        <v>HL24</v>
      </c>
    </row>
    <row r="962" spans="1:29" x14ac:dyDescent="0.2">
      <c r="A962" s="9"/>
      <c r="B962" s="103">
        <v>-1</v>
      </c>
      <c r="D962" s="32"/>
      <c r="E962" s="103"/>
      <c r="F962" s="36"/>
      <c r="G962" s="92"/>
      <c r="H962" s="19" t="e">
        <f>IF(ISBLANK(B962),0,+#REF!/B962)</f>
        <v>#REF!</v>
      </c>
      <c r="J962" s="109">
        <f t="shared" si="63"/>
        <v>215</v>
      </c>
      <c r="K962" s="92">
        <f t="shared" si="64"/>
        <v>-0.04</v>
      </c>
      <c r="L962" s="92">
        <f>IF(ISBLANK($E962),0,IF($E962&lt;$C$877,ROUND($C$877*$L$876,2),IF($E962&gt;L$877,ROUND(L$877*L$876,2),ROUND($E962*L$876,2))))</f>
        <v>0</v>
      </c>
      <c r="M962" s="92">
        <f>IF($E962&gt;L$877,ROUND(($E962-L$877)*M$876,2),0)</f>
        <v>0</v>
      </c>
      <c r="N962" s="92"/>
      <c r="O962" s="92"/>
      <c r="P962" s="92"/>
      <c r="Q962" s="92"/>
      <c r="R962" s="16" t="e">
        <f>VLOOKUP((D963),'Pwr Factor'!$A$1:$B$52,2)</f>
        <v>#N/A</v>
      </c>
      <c r="S962" s="50">
        <v>0.5</v>
      </c>
      <c r="T962" s="92"/>
      <c r="U962" s="92"/>
      <c r="V962" s="32"/>
      <c r="W962" s="92"/>
      <c r="X962" s="92"/>
      <c r="Y962" s="92"/>
      <c r="Z962" s="92"/>
      <c r="AA962" s="92"/>
      <c r="AB962" s="19"/>
      <c r="AC962" s="105">
        <f t="shared" si="65"/>
        <v>0</v>
      </c>
    </row>
    <row r="963" spans="1:29" x14ac:dyDescent="0.2">
      <c r="A963" s="1" t="s">
        <v>149</v>
      </c>
      <c r="B963" s="103">
        <f>IF(AND('AES Indiana Bill Calc.'!$D$17="HL2",'AES Indiana Bill Calc.'!$D$18="Yes 50%",'AES Indiana Bill Calc.'!$D$20="Yes 2024"),'AES Indiana Bill Calc.'!$D$19,-1)</f>
        <v>-1</v>
      </c>
      <c r="C963" s="103">
        <f>MAX(E963,$C$769)</f>
        <v>2000</v>
      </c>
      <c r="D963" s="103" t="b">
        <f>IF(AND('AES Indiana Bill Calc.'!$D$17="HL2",'AES Indiana Bill Calc.'!$D$18="Yes 50%",'AES Indiana Bill Calc.'!$D$20="Yes 2024"),'AES Indiana Bill Calc.'!$D$22)</f>
        <v>0</v>
      </c>
      <c r="E963" s="103" t="b">
        <f>IF(AND('AES Indiana Bill Calc.'!$D$17="HL2",'AES Indiana Bill Calc.'!$D$18="Yes 50%",'AES Indiana Bill Calc.'!$D$20="Yes 2024"),'AES Indiana Bill Calc.'!$D$21)</f>
        <v>0</v>
      </c>
      <c r="F963" s="36" t="s">
        <v>303</v>
      </c>
      <c r="G963" s="92" t="e">
        <f>SUM(J963:M963,R963:AA963)</f>
        <v>#N/A</v>
      </c>
      <c r="H963" s="19" t="e">
        <f>IF(ISBLANK(B963),0,+#REF!/B963)</f>
        <v>#REF!</v>
      </c>
      <c r="J963" s="109">
        <f t="shared" ref="J963:J969" si="66">IF(ISBLANK(B963),0,+J$876)</f>
        <v>215</v>
      </c>
      <c r="K963" s="92">
        <f t="shared" si="64"/>
        <v>-0.04</v>
      </c>
      <c r="L963" s="17">
        <f>IF(ISBLANK($C963),0,IF($C963&lt;$C$877,ROUND($C$877*$L$876,2),IF($C963&gt;L$877,ROUND(L$877*L$876,2),ROUND($C963*L$876,2))))</f>
        <v>50000</v>
      </c>
      <c r="M963" s="17">
        <f>IF($C963&gt;L$877,ROUND(($C963-L$877)*M$876,2),0)</f>
        <v>0</v>
      </c>
      <c r="N963" s="17">
        <f>K963</f>
        <v>-0.04</v>
      </c>
      <c r="O963" s="92"/>
      <c r="P963" s="92"/>
      <c r="Q963" s="17">
        <f>SUM(L963:M963)</f>
        <v>50000</v>
      </c>
      <c r="R963" s="110" t="e">
        <f>ROUND(SUM(K963:M963)*(R962-1),2)</f>
        <v>#N/A</v>
      </c>
      <c r="S963" s="92">
        <f>ROUND($B963*S$876*S962,2)</f>
        <v>0</v>
      </c>
      <c r="T963" s="92">
        <f>ROUND($B963*T$876,2)</f>
        <v>0</v>
      </c>
      <c r="U963" s="92">
        <f>ROUND($B963*U$876,2)</f>
        <v>0</v>
      </c>
      <c r="V963" s="32">
        <f>ROUND($B963*$V$875,2)</f>
        <v>0</v>
      </c>
      <c r="W963" s="92">
        <f>ROUND($B963*W$876,2)</f>
        <v>0</v>
      </c>
      <c r="X963" s="92">
        <f>ROUND($B963*X$876,2)</f>
        <v>0</v>
      </c>
      <c r="Y963" s="92">
        <f>ROUND($B963*Y$876,2)</f>
        <v>0</v>
      </c>
      <c r="Z963" s="92">
        <f>ROUND($B963*Z$876,2)</f>
        <v>0</v>
      </c>
      <c r="AA963" s="92">
        <f>ROUND($B963*AA$876,2)</f>
        <v>0</v>
      </c>
      <c r="AB963" s="19">
        <f>SUM(U$876:AA$876)+(-V$876+V949)</f>
        <v>2.3699999999999997E-3</v>
      </c>
      <c r="AC963" s="105" t="str">
        <f t="shared" ref="AC963:AC969" si="67">+F963</f>
        <v>HL24</v>
      </c>
    </row>
    <row r="964" spans="1:29" x14ac:dyDescent="0.2">
      <c r="A964" s="9"/>
      <c r="B964" s="103">
        <v>-1</v>
      </c>
      <c r="D964" s="32"/>
      <c r="E964" s="103"/>
      <c r="F964" s="36"/>
      <c r="G964" s="92"/>
      <c r="H964" s="19" t="e">
        <f>IF(ISBLANK(B964),0,+#REF!/B964)</f>
        <v>#REF!</v>
      </c>
      <c r="J964" s="109">
        <f t="shared" si="66"/>
        <v>215</v>
      </c>
      <c r="K964" s="92">
        <f t="shared" si="64"/>
        <v>-0.04</v>
      </c>
      <c r="L964" s="92">
        <f>IF(ISBLANK($E964),0,IF($E964&lt;$C$877,ROUND($C$877*$L$876,2),IF($E964&gt;L$877,ROUND(L$877*L$876,2),ROUND($E964*L$876,2))))</f>
        <v>0</v>
      </c>
      <c r="M964" s="92">
        <f>IF($E964&gt;L$877,ROUND(($E964-L$877)*M$876,2),0)</f>
        <v>0</v>
      </c>
      <c r="N964" s="92"/>
      <c r="O964" s="92"/>
      <c r="P964" s="92"/>
      <c r="Q964" s="92"/>
      <c r="R964" s="16" t="e">
        <f>VLOOKUP((D965),'Pwr Factor'!$A$1:$B$52,2)</f>
        <v>#N/A</v>
      </c>
      <c r="S964" s="50">
        <v>0.25</v>
      </c>
      <c r="T964" s="92"/>
      <c r="U964" s="92"/>
      <c r="V964" s="32"/>
      <c r="W964" s="92"/>
      <c r="X964" s="92"/>
      <c r="Y964" s="92"/>
      <c r="Z964" s="92"/>
      <c r="AA964" s="92"/>
      <c r="AB964" s="19"/>
      <c r="AC964" s="105">
        <f t="shared" si="67"/>
        <v>0</v>
      </c>
    </row>
    <row r="965" spans="1:29" x14ac:dyDescent="0.2">
      <c r="A965" s="1" t="s">
        <v>150</v>
      </c>
      <c r="B965" s="103">
        <f>IF(AND('AES Indiana Bill Calc.'!$D$17="HL2",'AES Indiana Bill Calc.'!$D$18="Yes 25%",'AES Indiana Bill Calc.'!$D$20="Yes 2024"),'AES Indiana Bill Calc.'!$D$19,-1)</f>
        <v>-1</v>
      </c>
      <c r="C965" s="103">
        <f>MAX(E965,$C$769)</f>
        <v>2000</v>
      </c>
      <c r="D965" s="103" t="b">
        <f>IF(AND('AES Indiana Bill Calc.'!$D$17="HL2",'AES Indiana Bill Calc.'!$D$18="Yes 25%",'AES Indiana Bill Calc.'!$D$20="Yes 2024"),'AES Indiana Bill Calc.'!$D$22)</f>
        <v>0</v>
      </c>
      <c r="E965" s="103" t="b">
        <f>IF(AND('AES Indiana Bill Calc.'!$D$17="HL2",'AES Indiana Bill Calc.'!$D$18="Yes 25%",'AES Indiana Bill Calc.'!$D$20="Yes 2024"),'AES Indiana Bill Calc.'!$D$21)</f>
        <v>0</v>
      </c>
      <c r="F965" s="36" t="s">
        <v>303</v>
      </c>
      <c r="G965" s="92" t="e">
        <f>SUM(J965:M965,R965:AA965)</f>
        <v>#N/A</v>
      </c>
      <c r="H965" s="19" t="e">
        <f>IF(ISBLANK(B965),0,+#REF!/B965)</f>
        <v>#REF!</v>
      </c>
      <c r="J965" s="109">
        <f t="shared" si="66"/>
        <v>215</v>
      </c>
      <c r="K965" s="92">
        <f t="shared" si="64"/>
        <v>-0.04</v>
      </c>
      <c r="L965" s="17">
        <f>IF(ISBLANK($C965),0,IF($C965&lt;$C$877,ROUND($C$877*$L$876,2),IF($C965&gt;L$877,ROUND(L$877*L$876,2),ROUND($C965*L$876,2))))</f>
        <v>50000</v>
      </c>
      <c r="M965" s="17">
        <f>IF($C965&gt;L$877,ROUND(($C965-L$877)*M$876,2),0)</f>
        <v>0</v>
      </c>
      <c r="N965" s="17">
        <f>K965</f>
        <v>-0.04</v>
      </c>
      <c r="O965" s="92"/>
      <c r="P965" s="92"/>
      <c r="Q965" s="17">
        <f>SUM(L965:M965)</f>
        <v>50000</v>
      </c>
      <c r="R965" s="110" t="e">
        <f>ROUND(SUM(K965:M965)*(R964-1),2)</f>
        <v>#N/A</v>
      </c>
      <c r="S965" s="92">
        <f>ROUND($B965*S$876*S964,2)</f>
        <v>0</v>
      </c>
      <c r="T965" s="92">
        <f>ROUND($B965*T$876,2)</f>
        <v>0</v>
      </c>
      <c r="U965" s="92">
        <f>ROUND($B965*U$876,2)</f>
        <v>0</v>
      </c>
      <c r="V965" s="32">
        <f>ROUND($B965*$V$875,2)</f>
        <v>0</v>
      </c>
      <c r="W965" s="92">
        <f>ROUND($B965*W$876,2)</f>
        <v>0</v>
      </c>
      <c r="X965" s="92">
        <f>ROUND($B965*X$876,2)</f>
        <v>0</v>
      </c>
      <c r="Y965" s="92">
        <f>ROUND($B965*Y$876,2)</f>
        <v>0</v>
      </c>
      <c r="Z965" s="92">
        <f>ROUND($B965*Z$876,2)</f>
        <v>0</v>
      </c>
      <c r="AA965" s="92">
        <f>ROUND($B965*AA$876,2)</f>
        <v>0</v>
      </c>
      <c r="AB965" s="19">
        <f>SUM(U$876:AA$876)+(-V$876+V951)</f>
        <v>2.3699999999999997E-3</v>
      </c>
      <c r="AC965" s="105" t="str">
        <f t="shared" si="67"/>
        <v>HL24</v>
      </c>
    </row>
    <row r="966" spans="1:29" x14ac:dyDescent="0.2">
      <c r="A966" s="9"/>
      <c r="B966" s="103">
        <v>-1</v>
      </c>
      <c r="D966" s="32"/>
      <c r="E966" s="103"/>
      <c r="F966" s="36"/>
      <c r="G966" s="92"/>
      <c r="H966" s="19" t="e">
        <f>IF(ISBLANK(B966),0,+#REF!/B966)</f>
        <v>#REF!</v>
      </c>
      <c r="J966" s="109">
        <f t="shared" si="66"/>
        <v>215</v>
      </c>
      <c r="K966" s="92">
        <f t="shared" si="64"/>
        <v>-0.04</v>
      </c>
      <c r="L966" s="92">
        <f>IF(ISBLANK($E966),0,IF($E966&lt;$C$877,ROUND($C$877*$L$876,2),IF($E966&gt;L$877,ROUND(L$877*L$876,2),ROUND($E966*L$876,2))))</f>
        <v>0</v>
      </c>
      <c r="M966" s="92">
        <f>IF($E966&gt;L$877,ROUND(($E966-L$877)*M$876,2),0)</f>
        <v>0</v>
      </c>
      <c r="N966" s="92"/>
      <c r="O966" s="92"/>
      <c r="P966" s="92"/>
      <c r="Q966" s="92"/>
      <c r="R966" s="16" t="e">
        <f>VLOOKUP((D967),'Pwr Factor'!$A$1:$B$52,2)</f>
        <v>#N/A</v>
      </c>
      <c r="S966" s="50">
        <v>0.1</v>
      </c>
      <c r="T966" s="92"/>
      <c r="U966" s="92"/>
      <c r="V966" s="32"/>
      <c r="W966" s="92"/>
      <c r="X966" s="92"/>
      <c r="Y966" s="92"/>
      <c r="Z966" s="92"/>
      <c r="AA966" s="92"/>
      <c r="AB966" s="19"/>
      <c r="AC966" s="105">
        <f t="shared" si="67"/>
        <v>0</v>
      </c>
    </row>
    <row r="967" spans="1:29" x14ac:dyDescent="0.2">
      <c r="A967" s="1" t="s">
        <v>164</v>
      </c>
      <c r="B967" s="103">
        <f>IF(AND('AES Indiana Bill Calc.'!$D$17="HL2",'AES Indiana Bill Calc.'!$D$18="Yes 10%",'AES Indiana Bill Calc.'!$D$20="Yes 2024"),'AES Indiana Bill Calc.'!$D$19,-1)</f>
        <v>-1</v>
      </c>
      <c r="C967" s="103">
        <f>MAX(E967,$C$769)</f>
        <v>2000</v>
      </c>
      <c r="D967" s="103" t="b">
        <f>IF(AND('AES Indiana Bill Calc.'!$D$17="HL2",'AES Indiana Bill Calc.'!$D$18="Yes 10%",'AES Indiana Bill Calc.'!$D$20="Yes 2024"),'AES Indiana Bill Calc.'!$D$22)</f>
        <v>0</v>
      </c>
      <c r="E967" s="103" t="b">
        <f>IF(AND('AES Indiana Bill Calc.'!$D$17="HL2",'AES Indiana Bill Calc.'!$D$18="Yes 10%",'AES Indiana Bill Calc.'!$D$20="Yes 2024"),'AES Indiana Bill Calc.'!$D$21)</f>
        <v>0</v>
      </c>
      <c r="F967" s="36" t="s">
        <v>303</v>
      </c>
      <c r="G967" s="92" t="e">
        <f>SUM(J967:M967,R967:AA967)</f>
        <v>#N/A</v>
      </c>
      <c r="H967" s="19" t="e">
        <f>IF(ISBLANK(B967),0,+#REF!/B967)</f>
        <v>#REF!</v>
      </c>
      <c r="J967" s="109">
        <f t="shared" si="66"/>
        <v>215</v>
      </c>
      <c r="K967" s="92">
        <f t="shared" si="64"/>
        <v>-0.04</v>
      </c>
      <c r="L967" s="17">
        <f>IF(ISBLANK($C967),0,IF($C967&lt;$C$877,ROUND($C$877*$L$876,2),IF($C967&gt;L$877,ROUND(L$877*L$876,2),ROUND($C967*L$876,2))))</f>
        <v>50000</v>
      </c>
      <c r="M967" s="17">
        <f>IF($C967&gt;L$877,ROUND(($C967-L$877)*M$876,2),0)</f>
        <v>0</v>
      </c>
      <c r="N967" s="17">
        <f>K967</f>
        <v>-0.04</v>
      </c>
      <c r="O967" s="92"/>
      <c r="P967" s="92"/>
      <c r="Q967" s="17">
        <f>SUM(L967:M967)</f>
        <v>50000</v>
      </c>
      <c r="R967" s="110" t="e">
        <f>ROUND(SUM(K967:M967)*(R966-1),2)</f>
        <v>#N/A</v>
      </c>
      <c r="S967" s="92">
        <f>ROUND($B967*S$876*S966,2)</f>
        <v>0</v>
      </c>
      <c r="T967" s="92">
        <f>ROUND($B967*T$876,2)</f>
        <v>0</v>
      </c>
      <c r="U967" s="92">
        <f>ROUND($B967*U$876,2)</f>
        <v>0</v>
      </c>
      <c r="V967" s="32">
        <f>ROUND($B967*$V$875,2)</f>
        <v>0</v>
      </c>
      <c r="W967" s="92">
        <f>ROUND($B967*W$876,2)</f>
        <v>0</v>
      </c>
      <c r="X967" s="92">
        <f>ROUND($B967*X$876,2)</f>
        <v>0</v>
      </c>
      <c r="Y967" s="92">
        <f>ROUND($B967*Y$876,2)</f>
        <v>0</v>
      </c>
      <c r="Z967" s="92">
        <f>ROUND($B967*Z$876,2)</f>
        <v>0</v>
      </c>
      <c r="AA967" s="92">
        <f>ROUND($B967*AA$876,2)</f>
        <v>0</v>
      </c>
      <c r="AB967" s="19">
        <f>SUM(U$876:AA$876)+(-V$876+V953)</f>
        <v>2.3699999999999997E-3</v>
      </c>
      <c r="AC967" s="105" t="str">
        <f t="shared" si="67"/>
        <v>HL24</v>
      </c>
    </row>
    <row r="968" spans="1:29" x14ac:dyDescent="0.2">
      <c r="A968" s="9"/>
      <c r="B968" s="103">
        <v>-1</v>
      </c>
      <c r="D968" s="32"/>
      <c r="E968" s="103"/>
      <c r="F968" s="36"/>
      <c r="G968" s="92"/>
      <c r="H968" s="19" t="e">
        <f>IF(ISBLANK(B968),0,+#REF!/B968)</f>
        <v>#REF!</v>
      </c>
      <c r="J968" s="109">
        <f t="shared" si="66"/>
        <v>215</v>
      </c>
      <c r="K968" s="92">
        <f t="shared" si="64"/>
        <v>-0.04</v>
      </c>
      <c r="L968" s="92">
        <f>IF(ISBLANK($E968),0,IF($E968&lt;$C$877,ROUND($C$877*$L$876,2),IF($E968&gt;L$877,ROUND(L$877*L$876,2),ROUND($E968*L$876,2))))</f>
        <v>0</v>
      </c>
      <c r="M968" s="92">
        <f>IF($E968&gt;L$877,ROUND(($E968-L$877)*M$876,2),0)</f>
        <v>0</v>
      </c>
      <c r="N968" s="92"/>
      <c r="O968" s="92"/>
      <c r="P968" s="92"/>
      <c r="Q968" s="92"/>
      <c r="R968" s="16" t="e">
        <f>VLOOKUP((D969),'Pwr Factor'!$A$1:$B$52,2)</f>
        <v>#N/A</v>
      </c>
      <c r="S968" s="50">
        <v>0</v>
      </c>
      <c r="T968" s="92"/>
      <c r="U968" s="92"/>
      <c r="V968" s="32"/>
      <c r="W968" s="92"/>
      <c r="X968" s="92"/>
      <c r="Y968" s="92"/>
      <c r="Z968" s="92"/>
      <c r="AA968" s="92"/>
      <c r="AB968" s="19"/>
      <c r="AC968" s="105">
        <f t="shared" si="67"/>
        <v>0</v>
      </c>
    </row>
    <row r="969" spans="1:29" x14ac:dyDescent="0.2">
      <c r="A969" s="1" t="s">
        <v>147</v>
      </c>
      <c r="B969" s="103">
        <f>IF(AND('AES Indiana Bill Calc.'!$D$17="HL2",'AES Indiana Bill Calc.'!$D$18="No",'AES Indiana Bill Calc.'!$D$20="Yes 2024"),'AES Indiana Bill Calc.'!$D$19,-1)</f>
        <v>-1</v>
      </c>
      <c r="C969" s="103">
        <f>MAX(E969,$C$769)</f>
        <v>2000</v>
      </c>
      <c r="D969" s="103" t="b">
        <f>IF(AND('AES Indiana Bill Calc.'!$D$17="HL2",'AES Indiana Bill Calc.'!$D$18="No",'AES Indiana Bill Calc.'!$D$20="Yes 2024"),'AES Indiana Bill Calc.'!$D$22)</f>
        <v>0</v>
      </c>
      <c r="E969" s="103" t="b">
        <f>IF(AND('AES Indiana Bill Calc.'!$D$17="HL2",'AES Indiana Bill Calc.'!$D$18="No",'AES Indiana Bill Calc.'!$D$20="Yes 2024"),'AES Indiana Bill Calc.'!$D$21)</f>
        <v>0</v>
      </c>
      <c r="F969" s="36" t="s">
        <v>303</v>
      </c>
      <c r="G969" s="92" t="e">
        <f>SUM(J969:M969,R969:AA969)</f>
        <v>#N/A</v>
      </c>
      <c r="H969" s="19" t="e">
        <f>IF(ISBLANK(B969),0,+#REF!/B969)</f>
        <v>#REF!</v>
      </c>
      <c r="J969" s="109">
        <f t="shared" si="66"/>
        <v>215</v>
      </c>
      <c r="K969" s="92">
        <f t="shared" si="64"/>
        <v>-0.04</v>
      </c>
      <c r="L969" s="17">
        <f>IF(ISBLANK($C969),0,IF($C969&lt;$C$877,ROUND($C$877*$L$876,2),IF($C969&gt;L$877,ROUND(L$877*L$876,2),ROUND($C969*L$876,2))))</f>
        <v>50000</v>
      </c>
      <c r="M969" s="17">
        <f>IF($C969&gt;L$877,ROUND(($C969-L$877)*M$876,2),0)</f>
        <v>0</v>
      </c>
      <c r="N969" s="17">
        <f>K969</f>
        <v>-0.04</v>
      </c>
      <c r="O969" s="92"/>
      <c r="P969" s="92"/>
      <c r="Q969" s="17">
        <f>SUM(L969:M969)</f>
        <v>50000</v>
      </c>
      <c r="R969" s="110" t="e">
        <f>ROUND(SUM(K969:M969)*(R968-1),2)</f>
        <v>#N/A</v>
      </c>
      <c r="S969" s="92">
        <f>ROUND($B969*S$876*S968,2)</f>
        <v>0</v>
      </c>
      <c r="T969" s="92">
        <f>ROUND($B969*T$876,2)</f>
        <v>0</v>
      </c>
      <c r="U969" s="92">
        <f>ROUND($B969*U$876,2)</f>
        <v>0</v>
      </c>
      <c r="V969" s="32">
        <f>ROUND($B969*$V$875,2)</f>
        <v>0</v>
      </c>
      <c r="W969" s="92">
        <f>ROUND($B969*W$876,2)</f>
        <v>0</v>
      </c>
      <c r="X969" s="92">
        <f>ROUND($B969*X$876,2)</f>
        <v>0</v>
      </c>
      <c r="Y969" s="92">
        <f>ROUND($B969*Y$876,2)</f>
        <v>0</v>
      </c>
      <c r="Z969" s="92">
        <f>ROUND($B969*Z$876,2)</f>
        <v>0</v>
      </c>
      <c r="AA969" s="92">
        <f>ROUND($B969*AA$876,2)</f>
        <v>0</v>
      </c>
      <c r="AB969" s="19">
        <f>SUM(U$876:AA$876)+(-V$876+V955)</f>
        <v>2.3699999999999997E-3</v>
      </c>
      <c r="AC969" s="105" t="str">
        <f t="shared" si="67"/>
        <v>HL24</v>
      </c>
    </row>
    <row r="970" spans="1:29" x14ac:dyDescent="0.2">
      <c r="B970" s="103">
        <v>-1</v>
      </c>
      <c r="C970" s="9"/>
      <c r="D970" s="8"/>
      <c r="X970" s="6"/>
      <c r="Y970" s="6"/>
      <c r="Z970" s="6"/>
      <c r="AA970" s="6"/>
      <c r="AB970" s="19"/>
    </row>
    <row r="971" spans="1:29" x14ac:dyDescent="0.2">
      <c r="B971" s="103">
        <v>-1</v>
      </c>
      <c r="C971" s="9"/>
      <c r="D971" s="8"/>
      <c r="L971" t="s">
        <v>193</v>
      </c>
      <c r="M971" t="s">
        <v>193</v>
      </c>
      <c r="S971" s="6"/>
      <c r="T971" s="6"/>
      <c r="U971" s="6"/>
      <c r="V971" s="19">
        <f>+T8</f>
        <v>0</v>
      </c>
      <c r="W971" s="6" t="s">
        <v>158</v>
      </c>
      <c r="AB971" s="19" t="e">
        <f>+AB$980-V$980+#REF!</f>
        <v>#REF!</v>
      </c>
    </row>
    <row r="972" spans="1:29" x14ac:dyDescent="0.2">
      <c r="B972" s="103">
        <v>-1</v>
      </c>
      <c r="C972" s="9"/>
      <c r="D972" s="8"/>
      <c r="S972" s="6"/>
      <c r="T972" s="6"/>
      <c r="U972" s="6"/>
      <c r="V972" s="19">
        <f>+T13</f>
        <v>0</v>
      </c>
      <c r="W972" s="6" t="s">
        <v>155</v>
      </c>
      <c r="AB972" s="19" t="e">
        <f>+AB$980-V$980+#REF!</f>
        <v>#REF!</v>
      </c>
    </row>
    <row r="973" spans="1:29" x14ac:dyDescent="0.2">
      <c r="B973" s="103">
        <v>-1</v>
      </c>
      <c r="C973" s="9"/>
      <c r="D973" s="8"/>
      <c r="S973" s="6"/>
      <c r="T973" s="6"/>
      <c r="U973" s="6"/>
      <c r="V973" s="19">
        <f>T16</f>
        <v>-4.3999999999999999E-5</v>
      </c>
      <c r="W973" s="6" t="s">
        <v>156</v>
      </c>
      <c r="AB973" s="19"/>
    </row>
    <row r="974" spans="1:29" x14ac:dyDescent="0.2">
      <c r="B974" s="103">
        <v>-1</v>
      </c>
      <c r="C974" s="9"/>
      <c r="D974" s="8"/>
      <c r="S974" s="6"/>
      <c r="T974" s="6"/>
      <c r="U974" s="6"/>
      <c r="V974" s="27">
        <f>$T$19</f>
        <v>1.15E-4</v>
      </c>
      <c r="W974" s="6" t="s">
        <v>157</v>
      </c>
      <c r="AB974" s="19"/>
    </row>
    <row r="975" spans="1:29" x14ac:dyDescent="0.2">
      <c r="B975" s="103">
        <v>-1</v>
      </c>
      <c r="C975" s="9"/>
      <c r="D975" s="8"/>
      <c r="S975" s="6"/>
      <c r="T975" s="6"/>
      <c r="U975" s="6"/>
      <c r="V975" s="27">
        <f>$T$21</f>
        <v>4.6099999999999998E-4</v>
      </c>
      <c r="W975" s="6" t="s">
        <v>158</v>
      </c>
      <c r="AB975" s="19"/>
    </row>
    <row r="976" spans="1:29" x14ac:dyDescent="0.2">
      <c r="B976" s="103">
        <v>-1</v>
      </c>
      <c r="C976" s="9"/>
      <c r="D976" s="8"/>
      <c r="S976" s="6"/>
      <c r="T976" s="6"/>
      <c r="U976" s="6"/>
      <c r="V976" s="27">
        <f>$T$23</f>
        <v>-8.1300000000000003E-4</v>
      </c>
      <c r="W976" s="6" t="s">
        <v>159</v>
      </c>
      <c r="AB976" s="19"/>
    </row>
    <row r="977" spans="1:29" x14ac:dyDescent="0.2">
      <c r="B977" s="103">
        <v>-1</v>
      </c>
      <c r="C977" s="9"/>
      <c r="D977" s="8"/>
      <c r="S977" s="6"/>
      <c r="T977" s="6"/>
      <c r="U977" s="6"/>
      <c r="V977" s="27">
        <f>$T$25</f>
        <v>0</v>
      </c>
      <c r="W977" s="6" t="s">
        <v>160</v>
      </c>
      <c r="AB977" s="19"/>
    </row>
    <row r="978" spans="1:29" x14ac:dyDescent="0.2">
      <c r="B978" s="103">
        <v>-1</v>
      </c>
      <c r="C978" s="9"/>
      <c r="D978" s="8"/>
      <c r="S978" s="6"/>
      <c r="T978" s="6"/>
      <c r="U978" s="6"/>
      <c r="V978" s="19">
        <f>T27</f>
        <v>0</v>
      </c>
      <c r="W978" s="6" t="s">
        <v>161</v>
      </c>
      <c r="AB978" s="19"/>
    </row>
    <row r="979" spans="1:29" x14ac:dyDescent="0.2">
      <c r="B979" s="103"/>
      <c r="C979" s="9"/>
      <c r="D979" s="8"/>
      <c r="S979" s="6"/>
      <c r="T979" s="6"/>
      <c r="U979" s="6"/>
      <c r="V979" s="19">
        <f>T29</f>
        <v>2.6050000000000001E-3</v>
      </c>
      <c r="W979" s="6" t="s">
        <v>301</v>
      </c>
      <c r="AB979" s="19"/>
    </row>
    <row r="980" spans="1:29" x14ac:dyDescent="0.2">
      <c r="B980" s="103">
        <v>-1</v>
      </c>
      <c r="C980" s="9"/>
      <c r="D980" s="8"/>
      <c r="F980" s="70"/>
      <c r="G980" s="70"/>
      <c r="H980" s="70"/>
      <c r="I980" s="70"/>
      <c r="J980" s="161">
        <v>500</v>
      </c>
      <c r="K980" s="162">
        <v>3.9872999999999999E-2</v>
      </c>
      <c r="L980" s="161">
        <v>24.09</v>
      </c>
      <c r="M980" s="161">
        <v>24.09</v>
      </c>
      <c r="N980" s="72"/>
      <c r="O980" s="72"/>
      <c r="P980" s="72"/>
      <c r="Q980" s="72"/>
      <c r="R980" s="5"/>
      <c r="S980" s="27">
        <f>+S771</f>
        <v>3.0000000000000001E-3</v>
      </c>
      <c r="T980" s="27">
        <f>+T771</f>
        <v>-3.4320000000000002E-3</v>
      </c>
      <c r="U980" s="27">
        <f>+$S$30</f>
        <v>1.305E-3</v>
      </c>
      <c r="V980" s="27">
        <f t="shared" ref="V980:AA980" si="68">+V771</f>
        <v>5.5240000000000003E-3</v>
      </c>
      <c r="W980" s="27">
        <f t="shared" si="68"/>
        <v>0</v>
      </c>
      <c r="X980" s="27">
        <f t="shared" si="68"/>
        <v>2.5569999999999998E-3</v>
      </c>
      <c r="Y980" s="27">
        <f t="shared" si="68"/>
        <v>-1.771E-3</v>
      </c>
      <c r="Z980" s="27">
        <f t="shared" si="68"/>
        <v>6.2500000000000001E-4</v>
      </c>
      <c r="AA980" s="27">
        <f t="shared" si="68"/>
        <v>-3.4600000000000001E-4</v>
      </c>
      <c r="AB980" s="19">
        <f>SUM(U980:Z980)</f>
        <v>8.2400000000000008E-3</v>
      </c>
    </row>
    <row r="981" spans="1:29" x14ac:dyDescent="0.2">
      <c r="A981" s="1"/>
      <c r="B981" s="103">
        <v>-1</v>
      </c>
      <c r="C981" s="9"/>
      <c r="D981" s="8"/>
      <c r="F981" s="70"/>
      <c r="G981" s="70"/>
      <c r="H981" s="70"/>
      <c r="I981" s="70"/>
      <c r="J981" s="70"/>
      <c r="K981" s="70"/>
      <c r="L981" s="73">
        <v>4000</v>
      </c>
      <c r="M981" s="70"/>
      <c r="N981" s="70"/>
      <c r="O981" s="70"/>
      <c r="P981" s="70"/>
      <c r="Q981" s="70"/>
    </row>
    <row r="982" spans="1:29" x14ac:dyDescent="0.2">
      <c r="B982" s="103">
        <v>-1</v>
      </c>
      <c r="C982" s="9"/>
      <c r="D982" s="8"/>
      <c r="F982" s="12"/>
      <c r="J982" s="12" t="s">
        <v>137</v>
      </c>
      <c r="K982" s="12" t="s">
        <v>197</v>
      </c>
      <c r="L982" s="204" t="s">
        <v>30</v>
      </c>
      <c r="M982" s="204"/>
      <c r="N982" s="12"/>
      <c r="O982" s="12"/>
      <c r="P982" s="12"/>
      <c r="Q982" s="143" t="s">
        <v>173</v>
      </c>
      <c r="R982" s="12" t="s">
        <v>196</v>
      </c>
      <c r="S982" s="12">
        <v>21</v>
      </c>
      <c r="T982" s="12">
        <v>6</v>
      </c>
      <c r="U982" s="12">
        <v>3</v>
      </c>
      <c r="V982" s="12">
        <v>22</v>
      </c>
      <c r="W982" s="12">
        <v>13</v>
      </c>
      <c r="X982" s="12">
        <v>20</v>
      </c>
      <c r="Y982" s="12">
        <v>24</v>
      </c>
      <c r="Z982" s="12">
        <v>25</v>
      </c>
      <c r="AA982" s="12">
        <v>26</v>
      </c>
    </row>
    <row r="983" spans="1:29" x14ac:dyDescent="0.2">
      <c r="A983" s="13"/>
      <c r="B983" s="103">
        <v>-1</v>
      </c>
      <c r="C983" s="99" t="s">
        <v>209</v>
      </c>
      <c r="D983" s="100" t="s">
        <v>210</v>
      </c>
      <c r="E983" s="130" t="s">
        <v>199</v>
      </c>
      <c r="F983" s="13" t="s">
        <v>141</v>
      </c>
      <c r="G983" s="13" t="s">
        <v>142</v>
      </c>
      <c r="H983" s="13" t="s">
        <v>143</v>
      </c>
      <c r="J983" s="13" t="s">
        <v>144</v>
      </c>
      <c r="K983" s="13" t="s">
        <v>144</v>
      </c>
      <c r="L983" s="13" t="s">
        <v>232</v>
      </c>
      <c r="M983" s="13" t="s">
        <v>233</v>
      </c>
      <c r="N983" s="143" t="s">
        <v>138</v>
      </c>
      <c r="O983" s="13"/>
      <c r="P983" s="13"/>
      <c r="Q983" s="13"/>
      <c r="R983" s="13" t="s">
        <v>201</v>
      </c>
      <c r="S983" s="13" t="s">
        <v>106</v>
      </c>
      <c r="T983" s="13" t="s">
        <v>36</v>
      </c>
      <c r="U983" s="139" t="s">
        <v>38</v>
      </c>
      <c r="V983" s="13" t="s">
        <v>107</v>
      </c>
      <c r="W983" s="13" t="s">
        <v>108</v>
      </c>
      <c r="X983" s="13" t="s">
        <v>109</v>
      </c>
      <c r="Y983" s="139" t="s">
        <v>44</v>
      </c>
      <c r="Z983" s="139" t="s">
        <v>46</v>
      </c>
      <c r="AA983" s="139" t="s">
        <v>48</v>
      </c>
      <c r="AB983" s="66" t="s">
        <v>110</v>
      </c>
    </row>
    <row r="984" spans="1:29" x14ac:dyDescent="0.2">
      <c r="A984" s="48"/>
      <c r="B984" s="103">
        <v>-1</v>
      </c>
      <c r="D984" s="8"/>
      <c r="E984" s="9"/>
      <c r="F984" s="36"/>
      <c r="G984" s="12"/>
      <c r="H984" s="12"/>
      <c r="J984" s="12"/>
      <c r="K984" s="12"/>
      <c r="L984" s="12"/>
      <c r="M984" s="12"/>
      <c r="N984" s="12"/>
      <c r="O984" s="12"/>
      <c r="P984" s="12"/>
      <c r="Q984" s="12"/>
      <c r="R984" s="38" t="e">
        <f>VLOOKUP((D985),'Pwr Factor'!$A$1:$B$52,2)</f>
        <v>#N/A</v>
      </c>
      <c r="S984" s="50">
        <v>1</v>
      </c>
      <c r="T984" s="12"/>
      <c r="U984" s="12"/>
      <c r="V984" s="12"/>
      <c r="W984" s="12"/>
      <c r="X984" s="12"/>
      <c r="Y984" s="12"/>
      <c r="Z984" s="12"/>
      <c r="AA984" s="12"/>
    </row>
    <row r="985" spans="1:29" x14ac:dyDescent="0.2">
      <c r="A985" s="1" t="s">
        <v>148</v>
      </c>
      <c r="B985" s="103">
        <f>IF(AND('AES Indiana Bill Calc.'!$D$17="HL3",'AES Indiana Bill Calc.'!$D$18="Yes 100%",'AES Indiana Bill Calc.'!$D$20="No"),'AES Indiana Bill Calc.'!$D$19,-1)</f>
        <v>-1</v>
      </c>
      <c r="C985" s="103">
        <f>MAX(E985,$C$769)</f>
        <v>2000</v>
      </c>
      <c r="D985" s="103" t="b">
        <f>IF(AND('AES Indiana Bill Calc.'!$D$17="HL3",'AES Indiana Bill Calc.'!$D$18="Yes 100%",'AES Indiana Bill Calc.'!$D$20="No"),'AES Indiana Bill Calc.'!$D$22)</f>
        <v>0</v>
      </c>
      <c r="E985" s="103" t="b">
        <f>IF(AND('AES Indiana Bill Calc.'!$D$17="HL3",'AES Indiana Bill Calc.'!$D$18="Yes 100%",'AES Indiana Bill Calc.'!$D$20="No"),'AES Indiana Bill Calc.'!$D$21)</f>
        <v>0</v>
      </c>
      <c r="F985" s="36" t="s">
        <v>69</v>
      </c>
      <c r="G985" s="92" t="e">
        <f>SUM(J985:M985,R985:AA985)</f>
        <v>#N/A</v>
      </c>
      <c r="H985" s="19" t="e">
        <f>IF(ISBLANK(B985),0,+#REF!/B985)</f>
        <v>#REF!</v>
      </c>
      <c r="J985" s="51">
        <f>IF(ISBLANK(B985),0,+J$980)</f>
        <v>500</v>
      </c>
      <c r="K985" s="17">
        <f>ROUND($B985*K$980,2)</f>
        <v>-0.04</v>
      </c>
      <c r="L985" s="17">
        <f>IF(ISBLANK($C985),0,IF($C985&lt;$C$981,ROUND($C$981*$L$980,2),IF($C985&gt;L$981,ROUND(L$981*L$980,2),ROUND($C985*L$980,2))))</f>
        <v>48180</v>
      </c>
      <c r="M985" s="17">
        <f>IF($C985&gt;L$981,ROUND(($C985-L$981)*M$980,2),0)</f>
        <v>0</v>
      </c>
      <c r="N985" s="17">
        <f>K985</f>
        <v>-0.04</v>
      </c>
      <c r="O985" s="17"/>
      <c r="P985" s="17"/>
      <c r="Q985" s="17">
        <f>SUM(L985:M985)</f>
        <v>48180</v>
      </c>
      <c r="R985" s="16" t="e">
        <f>ROUND(SUM(K985:M985)*(R984-1),2)</f>
        <v>#N/A</v>
      </c>
      <c r="S985" s="17">
        <f>ROUND($B985*S$980*S984,2)</f>
        <v>0</v>
      </c>
      <c r="T985" s="17">
        <f t="shared" ref="T985:AA985" si="69">ROUND($B985*T$980,2)</f>
        <v>0</v>
      </c>
      <c r="U985" s="17">
        <f t="shared" si="69"/>
        <v>0</v>
      </c>
      <c r="V985" s="8">
        <f t="shared" si="69"/>
        <v>-0.01</v>
      </c>
      <c r="W985" s="17">
        <f t="shared" si="69"/>
        <v>0</v>
      </c>
      <c r="X985" s="17">
        <f t="shared" si="69"/>
        <v>0</v>
      </c>
      <c r="Y985" s="17">
        <f t="shared" si="69"/>
        <v>0</v>
      </c>
      <c r="Z985" s="17">
        <f t="shared" si="69"/>
        <v>0</v>
      </c>
      <c r="AA985" s="17">
        <f t="shared" si="69"/>
        <v>0</v>
      </c>
      <c r="AB985" s="19">
        <f>SUM(U$980:AA$980)+(-V$980+V948)</f>
        <v>2.3699999999999997E-3</v>
      </c>
      <c r="AC985" s="67" t="str">
        <f>+F985</f>
        <v>HL3</v>
      </c>
    </row>
    <row r="986" spans="1:29" x14ac:dyDescent="0.2">
      <c r="A986" s="9"/>
      <c r="B986" s="103">
        <v>-1</v>
      </c>
      <c r="D986" s="8"/>
      <c r="E986" s="9"/>
      <c r="F986" s="36"/>
      <c r="G986" s="12"/>
      <c r="H986" s="12"/>
      <c r="J986" s="12"/>
      <c r="K986" s="12"/>
      <c r="L986" s="12"/>
      <c r="M986" s="12"/>
      <c r="N986" s="12"/>
      <c r="O986" s="12"/>
      <c r="P986" s="12"/>
      <c r="Q986" s="12"/>
      <c r="R986" s="38" t="e">
        <f>VLOOKUP((D987),'Pwr Factor'!$A$1:$B$52,2)</f>
        <v>#N/A</v>
      </c>
      <c r="S986" s="50">
        <v>0.5</v>
      </c>
      <c r="T986" s="12"/>
      <c r="U986" s="12"/>
      <c r="V986" s="12"/>
      <c r="W986" s="12"/>
      <c r="X986" s="12"/>
      <c r="Y986" s="12"/>
      <c r="Z986" s="12"/>
      <c r="AA986" s="12"/>
    </row>
    <row r="987" spans="1:29" x14ac:dyDescent="0.2">
      <c r="A987" s="1" t="s">
        <v>149</v>
      </c>
      <c r="B987" s="103">
        <f>IF(AND('AES Indiana Bill Calc.'!$D$17="HL3",'AES Indiana Bill Calc.'!$D$18="Yes 50%",'AES Indiana Bill Calc.'!$D$20="No"),'AES Indiana Bill Calc.'!$D$19,-1)</f>
        <v>-1</v>
      </c>
      <c r="C987" s="103">
        <f>MAX(E987,$C$769)</f>
        <v>2000</v>
      </c>
      <c r="D987" s="103" t="b">
        <f>IF(AND('AES Indiana Bill Calc.'!$D$17="HL3",'AES Indiana Bill Calc.'!$D$18="Yes 50%",'AES Indiana Bill Calc.'!$D$20="No"),'AES Indiana Bill Calc.'!$D$22)</f>
        <v>0</v>
      </c>
      <c r="E987" s="103" t="b">
        <f>IF(AND('AES Indiana Bill Calc.'!$D$17="HL3",'AES Indiana Bill Calc.'!$D$18="Yes 50%",'AES Indiana Bill Calc.'!$D$20="No"),'AES Indiana Bill Calc.'!$D$21)</f>
        <v>0</v>
      </c>
      <c r="F987" s="36" t="s">
        <v>69</v>
      </c>
      <c r="G987" s="92" t="e">
        <f>SUM(J987:M987,R987:AA987)</f>
        <v>#N/A</v>
      </c>
      <c r="H987" s="19" t="e">
        <f>IF(ISBLANK(B987),0,+#REF!/B987)</f>
        <v>#REF!</v>
      </c>
      <c r="J987" s="51">
        <f>IF(ISBLANK(B987),0,+J$980)</f>
        <v>500</v>
      </c>
      <c r="K987" s="17">
        <f>ROUND($B987*K$980,2)</f>
        <v>-0.04</v>
      </c>
      <c r="L987" s="17">
        <f>IF(ISBLANK($C987),0,IF($C987&lt;$C$981,ROUND($C$981*$L$980,2),IF($C987&gt;L$981,ROUND(L$981*L$980,2),ROUND($C987*L$980,2))))</f>
        <v>48180</v>
      </c>
      <c r="M987" s="17">
        <f>IF($C987&gt;L$981,ROUND(($C987-L$981)*M$980,2),0)</f>
        <v>0</v>
      </c>
      <c r="N987" s="17">
        <f>K987</f>
        <v>-0.04</v>
      </c>
      <c r="O987" s="17"/>
      <c r="P987" s="17"/>
      <c r="Q987" s="17">
        <f>SUM(L987:M987)</f>
        <v>48180</v>
      </c>
      <c r="R987" s="16" t="e">
        <f>ROUND(SUM(K987:M987)*(R986-1),2)</f>
        <v>#N/A</v>
      </c>
      <c r="S987" s="17">
        <f>ROUND($B987*S$980*S986,2)</f>
        <v>0</v>
      </c>
      <c r="T987" s="17">
        <f t="shared" ref="T987:AA987" si="70">ROUND($B987*T$980,2)</f>
        <v>0</v>
      </c>
      <c r="U987" s="17">
        <f t="shared" si="70"/>
        <v>0</v>
      </c>
      <c r="V987" s="8">
        <f t="shared" si="70"/>
        <v>-0.01</v>
      </c>
      <c r="W987" s="17">
        <f t="shared" si="70"/>
        <v>0</v>
      </c>
      <c r="X987" s="17">
        <f t="shared" si="70"/>
        <v>0</v>
      </c>
      <c r="Y987" s="17">
        <f t="shared" si="70"/>
        <v>0</v>
      </c>
      <c r="Z987" s="17">
        <f t="shared" si="70"/>
        <v>0</v>
      </c>
      <c r="AA987" s="17">
        <f t="shared" si="70"/>
        <v>0</v>
      </c>
      <c r="AB987" s="19">
        <f>SUM(U$980:AA$980)+(-V$980+V971)</f>
        <v>2.3699999999999997E-3</v>
      </c>
      <c r="AC987" s="67" t="str">
        <f>+F987</f>
        <v>HL3</v>
      </c>
    </row>
    <row r="988" spans="1:29" x14ac:dyDescent="0.2">
      <c r="A988" s="9"/>
      <c r="B988" s="103">
        <v>-1</v>
      </c>
      <c r="D988" s="8"/>
      <c r="E988" s="9"/>
      <c r="F988" s="36"/>
      <c r="G988" s="12"/>
      <c r="H988" s="12"/>
      <c r="J988" s="12"/>
      <c r="K988" s="12"/>
      <c r="L988" s="12"/>
      <c r="M988" s="12"/>
      <c r="N988" s="12"/>
      <c r="O988" s="12"/>
      <c r="P988" s="12"/>
      <c r="Q988" s="12"/>
      <c r="R988" s="38" t="e">
        <f>VLOOKUP((D989),'Pwr Factor'!$A$1:$B$52,2)</f>
        <v>#N/A</v>
      </c>
      <c r="S988" s="50">
        <v>0.25</v>
      </c>
      <c r="T988" s="12"/>
      <c r="U988" s="12"/>
      <c r="V988" s="12"/>
      <c r="W988" s="12"/>
      <c r="X988" s="12"/>
      <c r="Y988" s="12"/>
      <c r="Z988" s="12"/>
      <c r="AA988" s="12"/>
    </row>
    <row r="989" spans="1:29" x14ac:dyDescent="0.2">
      <c r="A989" s="1" t="s">
        <v>150</v>
      </c>
      <c r="B989" s="103">
        <f>IF(AND('AES Indiana Bill Calc.'!$D$17="HL3",'AES Indiana Bill Calc.'!$D$18="Yes 25%",'AES Indiana Bill Calc.'!$D$20="No"),'AES Indiana Bill Calc.'!$D$19,-1)</f>
        <v>-1</v>
      </c>
      <c r="C989" s="103">
        <f>MAX(E989,$C$769)</f>
        <v>2000</v>
      </c>
      <c r="D989" s="103" t="b">
        <f>IF(AND('AES Indiana Bill Calc.'!$D$17="HL3",'AES Indiana Bill Calc.'!$D$18="Yes 25%",'AES Indiana Bill Calc.'!$D$20="No"),'AES Indiana Bill Calc.'!$D$22)</f>
        <v>0</v>
      </c>
      <c r="E989" s="103" t="b">
        <f>IF(AND('AES Indiana Bill Calc.'!$D$17="HL3",'AES Indiana Bill Calc.'!$D$18="Yes 25%",'AES Indiana Bill Calc.'!$D$20="No"),'AES Indiana Bill Calc.'!$D$21)</f>
        <v>0</v>
      </c>
      <c r="F989" s="36" t="s">
        <v>69</v>
      </c>
      <c r="G989" s="92" t="e">
        <f>SUM(J989:M989,R989:AA989)</f>
        <v>#N/A</v>
      </c>
      <c r="H989" s="19" t="e">
        <f>IF(ISBLANK(B989),0,+#REF!/B989)</f>
        <v>#REF!</v>
      </c>
      <c r="J989" s="51">
        <f>IF(ISBLANK(B989),0,+J$980)</f>
        <v>500</v>
      </c>
      <c r="K989" s="17">
        <f>ROUND($B989*K$980,2)</f>
        <v>-0.04</v>
      </c>
      <c r="L989" s="17">
        <f>IF(ISBLANK($C989),0,IF($C989&lt;$C$981,ROUND($C$981*$L$980,2),IF($C989&gt;L$981,ROUND(L$981*L$980,2),ROUND($C989*L$980,2))))</f>
        <v>48180</v>
      </c>
      <c r="M989" s="17">
        <f>IF($C989&gt;L$981,ROUND(($C989-L$981)*M$980,2),0)</f>
        <v>0</v>
      </c>
      <c r="N989" s="17">
        <f>K989</f>
        <v>-0.04</v>
      </c>
      <c r="O989" s="17"/>
      <c r="P989" s="17"/>
      <c r="Q989" s="17">
        <f>SUM(L989:M989)</f>
        <v>48180</v>
      </c>
      <c r="R989" s="16" t="e">
        <f>ROUND(SUM(K989:M989)*(R988-1),2)</f>
        <v>#N/A</v>
      </c>
      <c r="S989" s="17">
        <f>ROUND($B989*S$980*S988,2)</f>
        <v>0</v>
      </c>
      <c r="T989" s="17">
        <f t="shared" ref="T989:AA989" si="71">ROUND($B989*T$980,2)</f>
        <v>0</v>
      </c>
      <c r="U989" s="17">
        <f t="shared" si="71"/>
        <v>0</v>
      </c>
      <c r="V989" s="8">
        <f t="shared" si="71"/>
        <v>-0.01</v>
      </c>
      <c r="W989" s="17">
        <f t="shared" si="71"/>
        <v>0</v>
      </c>
      <c r="X989" s="17">
        <f t="shared" si="71"/>
        <v>0</v>
      </c>
      <c r="Y989" s="17">
        <f t="shared" si="71"/>
        <v>0</v>
      </c>
      <c r="Z989" s="17">
        <f t="shared" si="71"/>
        <v>0</v>
      </c>
      <c r="AA989" s="17">
        <f t="shared" si="71"/>
        <v>0</v>
      </c>
      <c r="AB989" s="19" t="e">
        <f>SUM(U$980:AA$980)+(-V$980+#REF!)</f>
        <v>#REF!</v>
      </c>
      <c r="AC989" s="67" t="str">
        <f>+F989</f>
        <v>HL3</v>
      </c>
    </row>
    <row r="990" spans="1:29" x14ac:dyDescent="0.2">
      <c r="A990" s="9"/>
      <c r="B990" s="103">
        <v>-1</v>
      </c>
      <c r="D990" s="8"/>
      <c r="E990" s="9"/>
      <c r="F990" s="36"/>
      <c r="G990" s="12"/>
      <c r="H990" s="12"/>
      <c r="J990" s="12"/>
      <c r="K990" s="12"/>
      <c r="L990" s="12"/>
      <c r="M990" s="12"/>
      <c r="N990" s="12"/>
      <c r="O990" s="12"/>
      <c r="P990" s="12"/>
      <c r="Q990" s="12"/>
      <c r="R990" s="38" t="e">
        <f>VLOOKUP((D991),'Pwr Factor'!$A$1:$B$52,2)</f>
        <v>#N/A</v>
      </c>
      <c r="S990" s="50">
        <v>0.1</v>
      </c>
      <c r="T990" s="12"/>
      <c r="U990" s="12"/>
      <c r="V990" s="12"/>
      <c r="W990" s="12"/>
      <c r="X990" s="12"/>
      <c r="Y990" s="12"/>
      <c r="Z990" s="12"/>
      <c r="AA990" s="12"/>
    </row>
    <row r="991" spans="1:29" x14ac:dyDescent="0.2">
      <c r="A991" s="1" t="s">
        <v>164</v>
      </c>
      <c r="B991" s="103">
        <f>IF(AND('AES Indiana Bill Calc.'!$D$17="HL3",'AES Indiana Bill Calc.'!$D$18="Yes 10%",'AES Indiana Bill Calc.'!$D$20="No"),'AES Indiana Bill Calc.'!$D$19,-1)</f>
        <v>-1</v>
      </c>
      <c r="C991" s="103">
        <f>MAX(E991,$C$769)</f>
        <v>2000</v>
      </c>
      <c r="D991" s="103" t="b">
        <f>IF(AND('AES Indiana Bill Calc.'!$D$17="HL3",'AES Indiana Bill Calc.'!$D$18="Yes 10%",'AES Indiana Bill Calc.'!$D$20="No"),'AES Indiana Bill Calc.'!$D$22)</f>
        <v>0</v>
      </c>
      <c r="E991" s="103" t="b">
        <f>IF(AND('AES Indiana Bill Calc.'!$D$17="HL3",'AES Indiana Bill Calc.'!$D$18="Yes 10%",'AES Indiana Bill Calc.'!$D$20="No"),'AES Indiana Bill Calc.'!$D$21)</f>
        <v>0</v>
      </c>
      <c r="F991" s="36" t="s">
        <v>69</v>
      </c>
      <c r="G991" s="92" t="e">
        <f>SUM(J991:M991,R991:AA991)</f>
        <v>#N/A</v>
      </c>
      <c r="H991" s="19" t="e">
        <f>IF(ISBLANK(B991),0,+#REF!/B991)</f>
        <v>#REF!</v>
      </c>
      <c r="J991" s="51">
        <f>IF(ISBLANK(B991),0,+J$980)</f>
        <v>500</v>
      </c>
      <c r="K991" s="17">
        <f>ROUND($B991*K$980,2)</f>
        <v>-0.04</v>
      </c>
      <c r="L991" s="17">
        <f>IF(ISBLANK($C991),0,IF($C991&lt;$C$981,ROUND($C$981*$L$980,2),IF($C991&gt;L$981,ROUND(L$981*L$980,2),ROUND($C991*L$980,2))))</f>
        <v>48180</v>
      </c>
      <c r="M991" s="17">
        <f>IF($C991&gt;L$981,ROUND(($C991-L$981)*M$980,2),0)</f>
        <v>0</v>
      </c>
      <c r="N991" s="17">
        <f>K991</f>
        <v>-0.04</v>
      </c>
      <c r="O991" s="17"/>
      <c r="P991" s="17"/>
      <c r="Q991" s="17">
        <f>SUM(L991:M991)</f>
        <v>48180</v>
      </c>
      <c r="R991" s="16" t="e">
        <f>ROUND(SUM(K991:M991)*(R990-1),2)</f>
        <v>#N/A</v>
      </c>
      <c r="S991" s="17">
        <f>ROUND($B991*S$980*S990,2)</f>
        <v>0</v>
      </c>
      <c r="T991" s="17">
        <f t="shared" ref="T991:AA991" si="72">ROUND($B991*T$980,2)</f>
        <v>0</v>
      </c>
      <c r="U991" s="17">
        <f t="shared" si="72"/>
        <v>0</v>
      </c>
      <c r="V991" s="8">
        <f t="shared" si="72"/>
        <v>-0.01</v>
      </c>
      <c r="W991" s="17">
        <f t="shared" si="72"/>
        <v>0</v>
      </c>
      <c r="X991" s="17">
        <f t="shared" si="72"/>
        <v>0</v>
      </c>
      <c r="Y991" s="17">
        <f t="shared" si="72"/>
        <v>0</v>
      </c>
      <c r="Z991" s="17">
        <f t="shared" si="72"/>
        <v>0</v>
      </c>
      <c r="AA991" s="17">
        <f t="shared" si="72"/>
        <v>0</v>
      </c>
      <c r="AB991" s="19">
        <f>SUM(U$980:AA$980)+(-V$980+V973)</f>
        <v>2.3259999999999999E-3</v>
      </c>
      <c r="AC991" s="67" t="str">
        <f>+F991</f>
        <v>HL3</v>
      </c>
    </row>
    <row r="992" spans="1:29" x14ac:dyDescent="0.2">
      <c r="A992" s="9"/>
      <c r="B992" s="103">
        <v>-1</v>
      </c>
      <c r="D992" s="8"/>
      <c r="E992" s="9"/>
      <c r="F992" s="36"/>
      <c r="G992" s="12"/>
      <c r="H992" s="12"/>
      <c r="J992" s="12"/>
      <c r="K992" s="12"/>
      <c r="L992" s="12"/>
      <c r="M992" s="12"/>
      <c r="N992" s="12"/>
      <c r="O992" s="12"/>
      <c r="P992" s="12"/>
      <c r="Q992" s="12"/>
      <c r="R992" s="38" t="e">
        <f>VLOOKUP((D993),'Pwr Factor'!$A$1:$B$52,2)</f>
        <v>#N/A</v>
      </c>
      <c r="S992" s="50">
        <v>0</v>
      </c>
      <c r="T992" s="12"/>
      <c r="U992" s="12"/>
      <c r="V992" s="12"/>
      <c r="W992" s="12"/>
      <c r="X992" s="12"/>
      <c r="Y992" s="12"/>
      <c r="Z992" s="12"/>
      <c r="AA992" s="12"/>
    </row>
    <row r="993" spans="1:29" x14ac:dyDescent="0.2">
      <c r="A993" s="1" t="s">
        <v>147</v>
      </c>
      <c r="B993" s="103">
        <f>IF(AND('AES Indiana Bill Calc.'!$D$17="HL3",'AES Indiana Bill Calc.'!$D$18="No",'AES Indiana Bill Calc.'!$D$20="No"),'AES Indiana Bill Calc.'!$D$19,-1)</f>
        <v>-1</v>
      </c>
      <c r="C993" s="103">
        <f>MAX(E993,$C$769)</f>
        <v>2000</v>
      </c>
      <c r="D993" s="103" t="b">
        <f>IF(AND('AES Indiana Bill Calc.'!$D$17="HL3",'AES Indiana Bill Calc.'!$D$18="No",'AES Indiana Bill Calc.'!$D$20="No"),'AES Indiana Bill Calc.'!$D$22)</f>
        <v>0</v>
      </c>
      <c r="E993" s="103" t="b">
        <f>IF(AND('AES Indiana Bill Calc.'!$D$17="HL3",'AES Indiana Bill Calc.'!$D$18="No",'AES Indiana Bill Calc.'!$D$20="No"),'AES Indiana Bill Calc.'!$D$21)</f>
        <v>0</v>
      </c>
      <c r="F993" s="36" t="s">
        <v>69</v>
      </c>
      <c r="G993" s="92" t="e">
        <f>SUM(J993:M993,R993:AA993)</f>
        <v>#N/A</v>
      </c>
      <c r="H993" s="19" t="e">
        <f>IF(ISBLANK(B993),0,+#REF!/B993)</f>
        <v>#REF!</v>
      </c>
      <c r="J993" s="51">
        <f>IF(ISBLANK(B993),0,+J$980)</f>
        <v>500</v>
      </c>
      <c r="K993" s="17">
        <f>ROUND($B993*K$980,2)</f>
        <v>-0.04</v>
      </c>
      <c r="L993" s="17">
        <f>IF(ISBLANK($C993),0,IF($C993&lt;$C$981,ROUND($C$981*$L$980,2),IF($C993&gt;L$981,ROUND(L$981*L$980,2),ROUND($C993*L$980,2))))</f>
        <v>48180</v>
      </c>
      <c r="M993" s="17">
        <f>IF($C993&gt;L$981,ROUND(($C993-L$981)*M$980,2),0)</f>
        <v>0</v>
      </c>
      <c r="N993" s="17">
        <f>K993</f>
        <v>-0.04</v>
      </c>
      <c r="O993" s="17"/>
      <c r="P993" s="17"/>
      <c r="Q993" s="17">
        <f>SUM(L993:M993)</f>
        <v>48180</v>
      </c>
      <c r="R993" s="16" t="e">
        <f>ROUND(SUM(K993:M993)*(R992-1),2)</f>
        <v>#N/A</v>
      </c>
      <c r="S993" s="17">
        <f>ROUND($B993*S$980*S992,2)</f>
        <v>0</v>
      </c>
      <c r="T993" s="17">
        <f t="shared" ref="T993:AA993" si="73">ROUND($B993*T$980,2)</f>
        <v>0</v>
      </c>
      <c r="U993" s="17">
        <f t="shared" si="73"/>
        <v>0</v>
      </c>
      <c r="V993" s="8">
        <f t="shared" si="73"/>
        <v>-0.01</v>
      </c>
      <c r="W993" s="17">
        <f t="shared" si="73"/>
        <v>0</v>
      </c>
      <c r="X993" s="17">
        <f t="shared" si="73"/>
        <v>0</v>
      </c>
      <c r="Y993" s="17">
        <f t="shared" si="73"/>
        <v>0</v>
      </c>
      <c r="Z993" s="17">
        <f t="shared" si="73"/>
        <v>0</v>
      </c>
      <c r="AA993" s="17">
        <f t="shared" si="73"/>
        <v>0</v>
      </c>
      <c r="AB993" s="19">
        <f>SUM(U$980:AA$980)+(-V$980+V975)</f>
        <v>2.8309999999999993E-3</v>
      </c>
      <c r="AC993" s="67" t="str">
        <f>+F993</f>
        <v>HL3</v>
      </c>
    </row>
    <row r="994" spans="1:29" x14ac:dyDescent="0.2">
      <c r="A994" s="48"/>
      <c r="B994" s="103">
        <v>-1</v>
      </c>
      <c r="D994" s="8"/>
      <c r="E994" s="9"/>
      <c r="F994" s="36"/>
      <c r="G994" s="12"/>
      <c r="H994" s="12"/>
      <c r="J994" s="12"/>
      <c r="K994" s="12"/>
      <c r="L994" s="12"/>
      <c r="M994" s="12"/>
      <c r="N994" s="12"/>
      <c r="O994" s="12"/>
      <c r="P994" s="12"/>
      <c r="Q994" s="12"/>
      <c r="R994" s="38" t="e">
        <f>VLOOKUP((D995),'Pwr Factor'!$A$1:$B$52,2)</f>
        <v>#N/A</v>
      </c>
      <c r="S994" s="50">
        <v>1</v>
      </c>
      <c r="T994" s="12"/>
      <c r="U994" s="12"/>
      <c r="V994" s="12"/>
      <c r="W994" s="12"/>
      <c r="X994" s="12"/>
      <c r="Y994" s="12"/>
      <c r="Z994" s="12"/>
      <c r="AA994" s="12"/>
    </row>
    <row r="995" spans="1:29" x14ac:dyDescent="0.2">
      <c r="A995" s="1" t="s">
        <v>148</v>
      </c>
      <c r="B995" s="103">
        <f>IF(AND('AES Indiana Bill Calc.'!$D$17="HL3",'AES Indiana Bill Calc.'!$D$18="Yes 100%",'AES Indiana Bill Calc.'!$D$20="Yes Before 2018"),'AES Indiana Bill Calc.'!$D$19,-1)</f>
        <v>-1</v>
      </c>
      <c r="C995" s="103">
        <f>MAX(E995,$C$769)</f>
        <v>2000</v>
      </c>
      <c r="D995" s="103" t="b">
        <f>IF(AND('AES Indiana Bill Calc.'!$D$17="HL3",'AES Indiana Bill Calc.'!$D$18="Yes 100%",'AES Indiana Bill Calc.'!$D$20="Yes Before 2018"),'AES Indiana Bill Calc.'!$D$22)</f>
        <v>0</v>
      </c>
      <c r="E995" s="103" t="b">
        <f>IF(AND('AES Indiana Bill Calc.'!$D$17="HL3",'AES Indiana Bill Calc.'!$D$18="Yes 100%",'AES Indiana Bill Calc.'!$D$20="Yes Before 2018"),'AES Indiana Bill Calc.'!$D$21)</f>
        <v>0</v>
      </c>
      <c r="F995" s="36" t="s">
        <v>247</v>
      </c>
      <c r="G995" s="92" t="e">
        <f>SUM(J995:M995,R995:AA995)</f>
        <v>#N/A</v>
      </c>
      <c r="H995" s="19" t="e">
        <f>IF(ISBLANK(B995),0,+#REF!/B995)</f>
        <v>#REF!</v>
      </c>
      <c r="J995" s="51">
        <f>IF(ISBLANK(B995),0,+J$980)</f>
        <v>500</v>
      </c>
      <c r="K995" s="17">
        <f>ROUND($B995*K$980,2)</f>
        <v>-0.04</v>
      </c>
      <c r="L995" s="17">
        <f>IF(ISBLANK($C995),0,IF($C995&lt;$C$981,ROUND($C$981*$L$980,2),IF($C995&gt;L$981,ROUND(L$981*L$980,2),ROUND($C995*L$980,2))))</f>
        <v>48180</v>
      </c>
      <c r="M995" s="17">
        <f>IF($C995&gt;L$981,ROUND(($C995-L$981)*M$980,2),0)</f>
        <v>0</v>
      </c>
      <c r="N995" s="17">
        <f>K995</f>
        <v>-0.04</v>
      </c>
      <c r="O995" s="17"/>
      <c r="P995" s="17"/>
      <c r="Q995" s="17">
        <f>SUM(L995:M995)</f>
        <v>48180</v>
      </c>
      <c r="R995" s="16" t="e">
        <f>ROUND(SUM(K995:M995)*(R994-1),2)</f>
        <v>#N/A</v>
      </c>
      <c r="S995" s="17">
        <f>ROUND($B995*S$980*S994,2)</f>
        <v>0</v>
      </c>
      <c r="T995" s="17">
        <f>ROUND($B995*T$980,2)</f>
        <v>0</v>
      </c>
      <c r="U995" s="17">
        <f>ROUND($B995*U$980,2)</f>
        <v>0</v>
      </c>
      <c r="V995" s="8">
        <f>ROUND($B995*V$972,2)</f>
        <v>0</v>
      </c>
      <c r="W995" s="17">
        <f>ROUND($B995*W$980,2)</f>
        <v>0</v>
      </c>
      <c r="X995" s="17">
        <f>ROUND($B995*X$980,2)</f>
        <v>0</v>
      </c>
      <c r="Y995" s="17">
        <f>ROUND($B995*Y$980,2)</f>
        <v>0</v>
      </c>
      <c r="Z995" s="17">
        <f>ROUND($B995*Z$980,2)</f>
        <v>0</v>
      </c>
      <c r="AA995" s="17">
        <f>ROUND($B995*AA$980,2)</f>
        <v>0</v>
      </c>
      <c r="AB995" s="19">
        <f>SUM(U$980:AA$980)+(-V$980+V977)</f>
        <v>2.3699999999999997E-3</v>
      </c>
      <c r="AC995" s="67" t="str">
        <f>+F995</f>
        <v>HL37</v>
      </c>
    </row>
    <row r="996" spans="1:29" x14ac:dyDescent="0.2">
      <c r="A996" s="9"/>
      <c r="B996" s="103">
        <v>-1</v>
      </c>
      <c r="D996" s="8"/>
      <c r="E996" s="9"/>
      <c r="F996" s="36"/>
      <c r="G996" s="12"/>
      <c r="H996" s="12"/>
      <c r="J996" s="12"/>
      <c r="K996" s="12"/>
      <c r="L996" s="12"/>
      <c r="M996" s="12"/>
      <c r="N996" s="12"/>
      <c r="O996" s="12"/>
      <c r="P996" s="12"/>
      <c r="Q996" s="12"/>
      <c r="R996" s="38" t="e">
        <f>VLOOKUP((D997),'Pwr Factor'!$A$1:$B$52,2)</f>
        <v>#N/A</v>
      </c>
      <c r="S996" s="50">
        <v>0.5</v>
      </c>
      <c r="T996" s="12"/>
      <c r="U996" s="12"/>
      <c r="V996" s="12"/>
      <c r="W996" s="12"/>
      <c r="X996" s="12"/>
      <c r="Y996" s="12"/>
      <c r="Z996" s="12"/>
      <c r="AA996" s="12"/>
    </row>
    <row r="997" spans="1:29" x14ac:dyDescent="0.2">
      <c r="A997" s="1" t="s">
        <v>149</v>
      </c>
      <c r="B997" s="103">
        <f>IF(AND('AES Indiana Bill Calc.'!$D$17="HL3",'AES Indiana Bill Calc.'!$D$18="Yes 50%",'AES Indiana Bill Calc.'!$D$20="Yes Before 2018"),'AES Indiana Bill Calc.'!$D$19,-1)</f>
        <v>-1</v>
      </c>
      <c r="C997" s="103">
        <f>MAX(E997,$C$769)</f>
        <v>2000</v>
      </c>
      <c r="D997" s="103" t="b">
        <f>IF(AND('AES Indiana Bill Calc.'!$D$17="HL3",'AES Indiana Bill Calc.'!$D$18="Yes 50%",'AES Indiana Bill Calc.'!$D$20="Yes Before 2018"),'AES Indiana Bill Calc.'!$D$22)</f>
        <v>0</v>
      </c>
      <c r="E997" s="103" t="b">
        <f>IF(AND('AES Indiana Bill Calc.'!$D$17="HL3",'AES Indiana Bill Calc.'!$D$18="Yes 50%",'AES Indiana Bill Calc.'!$D$20="Yes Before 2018"),'AES Indiana Bill Calc.'!$D$21)</f>
        <v>0</v>
      </c>
      <c r="F997" s="36" t="s">
        <v>247</v>
      </c>
      <c r="G997" s="92" t="e">
        <f>SUM(J997:M997,R997:AA997)</f>
        <v>#N/A</v>
      </c>
      <c r="H997" s="19" t="e">
        <f>IF(ISBLANK(B997),0,+#REF!/B997)</f>
        <v>#REF!</v>
      </c>
      <c r="J997" s="51">
        <f>IF(ISBLANK(B997),0,+J$980)</f>
        <v>500</v>
      </c>
      <c r="K997" s="17">
        <f>ROUND($B997*K$980,2)</f>
        <v>-0.04</v>
      </c>
      <c r="L997" s="17">
        <f>IF(ISBLANK($C997),0,IF($C997&lt;$C$981,ROUND($C$981*$L$980,2),IF($C997&gt;L$981,ROUND(L$981*L$980,2),ROUND($C997*L$980,2))))</f>
        <v>48180</v>
      </c>
      <c r="M997" s="17">
        <f>IF($C997&gt;L$981,ROUND(($C997-L$981)*M$980,2),0)</f>
        <v>0</v>
      </c>
      <c r="N997" s="17">
        <f>K997</f>
        <v>-0.04</v>
      </c>
      <c r="O997" s="17"/>
      <c r="P997" s="17"/>
      <c r="Q997" s="17">
        <f>SUM(L997:M997)</f>
        <v>48180</v>
      </c>
      <c r="R997" s="16" t="e">
        <f>ROUND(SUM(K997:M997)*(R996-1),2)</f>
        <v>#N/A</v>
      </c>
      <c r="S997" s="17">
        <f>ROUND($B997*S$980*S996,2)</f>
        <v>0</v>
      </c>
      <c r="T997" s="17">
        <f>ROUND($B997*T$980,2)</f>
        <v>0</v>
      </c>
      <c r="U997" s="17">
        <f>ROUND($B997*U$980,2)</f>
        <v>0</v>
      </c>
      <c r="V997" s="8">
        <f>ROUND($B997*V$972,2)</f>
        <v>0</v>
      </c>
      <c r="W997" s="17">
        <f>ROUND($B997*W$980,2)</f>
        <v>0</v>
      </c>
      <c r="X997" s="17">
        <f>ROUND($B997*X$980,2)</f>
        <v>0</v>
      </c>
      <c r="Y997" s="17">
        <f>ROUND($B997*Y$980,2)</f>
        <v>0</v>
      </c>
      <c r="Z997" s="17">
        <f>ROUND($B997*Z$980,2)</f>
        <v>0</v>
      </c>
      <c r="AA997" s="17">
        <f>ROUND($B997*AA$980,2)</f>
        <v>0</v>
      </c>
      <c r="AB997" s="19">
        <f>SUM(U$980:AA$980)+(-V$980+V981)</f>
        <v>2.3699999999999997E-3</v>
      </c>
      <c r="AC997" s="67" t="str">
        <f>+F997</f>
        <v>HL37</v>
      </c>
    </row>
    <row r="998" spans="1:29" x14ac:dyDescent="0.2">
      <c r="A998" s="9"/>
      <c r="B998" s="103">
        <v>-1</v>
      </c>
      <c r="D998" s="8"/>
      <c r="E998" s="9"/>
      <c r="F998" s="36"/>
      <c r="G998" s="12"/>
      <c r="H998" s="12"/>
      <c r="J998" s="12"/>
      <c r="K998" s="12"/>
      <c r="L998" s="12"/>
      <c r="M998" s="12"/>
      <c r="N998" s="12"/>
      <c r="O998" s="12"/>
      <c r="P998" s="12"/>
      <c r="Q998" s="12"/>
      <c r="R998" s="38" t="e">
        <f>VLOOKUP((D999),'Pwr Factor'!$A$1:$B$52,2)</f>
        <v>#N/A</v>
      </c>
      <c r="S998" s="50">
        <v>0.25</v>
      </c>
      <c r="T998" s="12"/>
      <c r="U998" s="12"/>
      <c r="V998" s="12"/>
      <c r="W998" s="12"/>
      <c r="X998" s="12"/>
      <c r="Y998" s="12"/>
      <c r="Z998" s="12"/>
      <c r="AA998" s="12"/>
    </row>
    <row r="999" spans="1:29" x14ac:dyDescent="0.2">
      <c r="A999" s="1" t="s">
        <v>150</v>
      </c>
      <c r="B999" s="103">
        <f>IF(AND('AES Indiana Bill Calc.'!$D$17="HL3",'AES Indiana Bill Calc.'!$D$18="Yes 25%",'AES Indiana Bill Calc.'!$D$20="Yes Before 2018"),'AES Indiana Bill Calc.'!$D$19,-1)</f>
        <v>-1</v>
      </c>
      <c r="C999" s="103">
        <f>MAX(E999,$C$769)</f>
        <v>2000</v>
      </c>
      <c r="D999" s="103" t="b">
        <f>IF(AND('AES Indiana Bill Calc.'!$D$17="HL3",'AES Indiana Bill Calc.'!$D$18="Yes 25%",'AES Indiana Bill Calc.'!$D$20="Yes Before 2018"),'AES Indiana Bill Calc.'!$D$22)</f>
        <v>0</v>
      </c>
      <c r="E999" s="103" t="b">
        <f>IF(AND('AES Indiana Bill Calc.'!$D$17="HL3",'AES Indiana Bill Calc.'!$D$18="Yes 25%",'AES Indiana Bill Calc.'!$D$20="Yes Before 2018"),'AES Indiana Bill Calc.'!$D$21)</f>
        <v>0</v>
      </c>
      <c r="F999" s="36" t="s">
        <v>247</v>
      </c>
      <c r="G999" s="92" t="e">
        <f>SUM(J999:M999,R999:AA999)</f>
        <v>#N/A</v>
      </c>
      <c r="H999" s="19" t="e">
        <f>IF(ISBLANK(B999),0,+#REF!/B999)</f>
        <v>#REF!</v>
      </c>
      <c r="J999" s="51">
        <f>IF(ISBLANK(B999),0,+J$980)</f>
        <v>500</v>
      </c>
      <c r="K999" s="17">
        <f>ROUND($B999*K$980,2)</f>
        <v>-0.04</v>
      </c>
      <c r="L999" s="17">
        <f>IF(ISBLANK($C999),0,IF($C999&lt;$C$981,ROUND($C$981*$L$980,2),IF($C999&gt;L$981,ROUND(L$981*L$980,2),ROUND($C999*L$980,2))))</f>
        <v>48180</v>
      </c>
      <c r="M999" s="17">
        <f>IF($C999&gt;L$981,ROUND(($C999-L$981)*M$980,2),0)</f>
        <v>0</v>
      </c>
      <c r="N999" s="17">
        <f>K999</f>
        <v>-0.04</v>
      </c>
      <c r="O999" s="17"/>
      <c r="P999" s="17"/>
      <c r="Q999" s="17">
        <f>SUM(L999:M999)</f>
        <v>48180</v>
      </c>
      <c r="R999" s="16" t="e">
        <f>ROUND(SUM(K999:M999)*(R998-1),2)</f>
        <v>#N/A</v>
      </c>
      <c r="S999" s="17">
        <f>ROUND($B999*S$980*S998,2)</f>
        <v>0</v>
      </c>
      <c r="T999" s="17">
        <f>ROUND($B999*T$980,2)</f>
        <v>0</v>
      </c>
      <c r="U999" s="17">
        <f>ROUND($B999*U$980,2)</f>
        <v>0</v>
      </c>
      <c r="V999" s="8">
        <f>ROUND($B999*V$972,2)</f>
        <v>0</v>
      </c>
      <c r="W999" s="17">
        <f>ROUND($B999*W$980,2)</f>
        <v>0</v>
      </c>
      <c r="X999" s="17">
        <f>ROUND($B999*X$980,2)</f>
        <v>0</v>
      </c>
      <c r="Y999" s="17">
        <f>ROUND($B999*Y$980,2)</f>
        <v>0</v>
      </c>
      <c r="Z999" s="17">
        <f>ROUND($B999*Z$980,2)</f>
        <v>0</v>
      </c>
      <c r="AA999" s="17">
        <f>ROUND($B999*AA$980,2)</f>
        <v>0</v>
      </c>
      <c r="AB999" s="19" t="e">
        <f>SUM(U$980:AA$980)+(-V$980+V983)</f>
        <v>#VALUE!</v>
      </c>
      <c r="AC999" s="67" t="str">
        <f>+F999</f>
        <v>HL37</v>
      </c>
    </row>
    <row r="1000" spans="1:29" x14ac:dyDescent="0.2">
      <c r="A1000" s="9"/>
      <c r="B1000" s="103">
        <v>-1</v>
      </c>
      <c r="D1000" s="8"/>
      <c r="E1000" s="9"/>
      <c r="F1000" s="36"/>
      <c r="G1000" s="12"/>
      <c r="H1000" s="12"/>
      <c r="J1000" s="12"/>
      <c r="K1000" s="12"/>
      <c r="L1000" s="12"/>
      <c r="M1000" s="12"/>
      <c r="N1000" s="12"/>
      <c r="O1000" s="12"/>
      <c r="P1000" s="12"/>
      <c r="Q1000" s="12"/>
      <c r="R1000" s="38" t="e">
        <f>VLOOKUP((D1001),'Pwr Factor'!$A$1:$B$52,2)</f>
        <v>#N/A</v>
      </c>
      <c r="S1000" s="50">
        <v>0.1</v>
      </c>
      <c r="T1000" s="12"/>
      <c r="U1000" s="12"/>
      <c r="V1000" s="12"/>
      <c r="W1000" s="12"/>
      <c r="X1000" s="12"/>
      <c r="Y1000" s="12"/>
      <c r="Z1000" s="12"/>
      <c r="AA1000" s="12"/>
    </row>
    <row r="1001" spans="1:29" x14ac:dyDescent="0.2">
      <c r="A1001" s="1" t="s">
        <v>164</v>
      </c>
      <c r="B1001" s="103">
        <f>IF(AND('AES Indiana Bill Calc.'!$D$17="HL3",'AES Indiana Bill Calc.'!$D$18="Yes 10%",'AES Indiana Bill Calc.'!$D$20="Yes Before 2018"),'AES Indiana Bill Calc.'!$D$19,-1)</f>
        <v>-1</v>
      </c>
      <c r="C1001" s="103">
        <f>MAX(E1001,$C$769)</f>
        <v>2000</v>
      </c>
      <c r="D1001" s="103" t="b">
        <f>IF(AND('AES Indiana Bill Calc.'!$D$17="HL3",'AES Indiana Bill Calc.'!$D$18="Yes 10%",'AES Indiana Bill Calc.'!$D$20="Yes Before 2018"),'AES Indiana Bill Calc.'!$D$22)</f>
        <v>0</v>
      </c>
      <c r="E1001" s="103" t="b">
        <f>IF(AND('AES Indiana Bill Calc.'!$D$17="HL3",'AES Indiana Bill Calc.'!$D$18="Yes 10%",'AES Indiana Bill Calc.'!$D$20="Yes Before 2018"),'AES Indiana Bill Calc.'!$D$21)</f>
        <v>0</v>
      </c>
      <c r="F1001" s="36" t="s">
        <v>247</v>
      </c>
      <c r="G1001" s="92" t="e">
        <f>SUM(J1001:M1001,R1001:AA1001)</f>
        <v>#N/A</v>
      </c>
      <c r="H1001" s="19" t="e">
        <f>IF(ISBLANK(B1001),0,+#REF!/B1001)</f>
        <v>#REF!</v>
      </c>
      <c r="J1001" s="51">
        <f>IF(ISBLANK(B1001),0,+J$980)</f>
        <v>500</v>
      </c>
      <c r="K1001" s="17">
        <f>ROUND($B1001*K$980,2)</f>
        <v>-0.04</v>
      </c>
      <c r="L1001" s="17">
        <f>IF(ISBLANK($C1001),0,IF($C1001&lt;$C$981,ROUND($C$981*$L$980,2),IF($C1001&gt;L$981,ROUND(L$981*L$980,2),ROUND($C1001*L$980,2))))</f>
        <v>48180</v>
      </c>
      <c r="M1001" s="17">
        <f>IF($C1001&gt;L$981,ROUND(($C1001-L$981)*M$980,2),0)</f>
        <v>0</v>
      </c>
      <c r="N1001" s="17">
        <f>K1001</f>
        <v>-0.04</v>
      </c>
      <c r="O1001" s="17"/>
      <c r="P1001" s="17"/>
      <c r="Q1001" s="17">
        <f>SUM(L1001:M1001)</f>
        <v>48180</v>
      </c>
      <c r="R1001" s="16" t="e">
        <f>ROUND(SUM(K1001:M1001)*(R1000-1),2)</f>
        <v>#N/A</v>
      </c>
      <c r="S1001" s="17">
        <f>ROUND($B1001*S$980*S1000,2)</f>
        <v>0</v>
      </c>
      <c r="T1001" s="17">
        <f>ROUND($B1001*T$980,2)</f>
        <v>0</v>
      </c>
      <c r="U1001" s="17">
        <f>ROUND($B1001*U$980,2)</f>
        <v>0</v>
      </c>
      <c r="V1001" s="8">
        <f>ROUND($B1001*V$972,2)</f>
        <v>0</v>
      </c>
      <c r="W1001" s="17">
        <f>ROUND($B1001*W$980,2)</f>
        <v>0</v>
      </c>
      <c r="X1001" s="17">
        <f>ROUND($B1001*X$980,2)</f>
        <v>0</v>
      </c>
      <c r="Y1001" s="17">
        <f>ROUND($B1001*Y$980,2)</f>
        <v>0</v>
      </c>
      <c r="Z1001" s="17">
        <f>ROUND($B1001*Z$980,2)</f>
        <v>0</v>
      </c>
      <c r="AA1001" s="17">
        <f>ROUND($B1001*AA$980,2)</f>
        <v>0</v>
      </c>
      <c r="AB1001" s="19">
        <f>SUM(U$980:AA$980)+(-V$980+V985)</f>
        <v>-7.6299999999999996E-3</v>
      </c>
      <c r="AC1001" s="67" t="str">
        <f>+F1001</f>
        <v>HL37</v>
      </c>
    </row>
    <row r="1002" spans="1:29" x14ac:dyDescent="0.2">
      <c r="A1002" s="9"/>
      <c r="B1002" s="103">
        <v>-1</v>
      </c>
      <c r="D1002" s="8"/>
      <c r="E1002" s="9"/>
      <c r="F1002" s="36"/>
      <c r="G1002" s="12"/>
      <c r="H1002" s="12"/>
      <c r="J1002" s="12"/>
      <c r="K1002" s="12"/>
      <c r="L1002" s="12"/>
      <c r="M1002" s="12"/>
      <c r="N1002" s="12"/>
      <c r="O1002" s="12"/>
      <c r="P1002" s="12"/>
      <c r="Q1002" s="12"/>
      <c r="R1002" s="38" t="e">
        <f>VLOOKUP((D1003),'Pwr Factor'!$A$1:$B$52,2)</f>
        <v>#N/A</v>
      </c>
      <c r="S1002" s="50">
        <v>0</v>
      </c>
      <c r="T1002" s="12"/>
      <c r="U1002" s="12"/>
      <c r="V1002" s="12"/>
      <c r="W1002" s="12"/>
      <c r="X1002" s="12"/>
      <c r="Y1002" s="12"/>
      <c r="Z1002" s="12"/>
      <c r="AA1002" s="12"/>
    </row>
    <row r="1003" spans="1:29" x14ac:dyDescent="0.2">
      <c r="A1003" s="1" t="s">
        <v>147</v>
      </c>
      <c r="B1003" s="103">
        <f>IF(AND('AES Indiana Bill Calc.'!$D$17="HL3",'AES Indiana Bill Calc.'!$D$18="No",'AES Indiana Bill Calc.'!$D$20="Yes Before 2018"),'AES Indiana Bill Calc.'!$D$19,-1)</f>
        <v>-1</v>
      </c>
      <c r="C1003" s="103">
        <f>MAX(E1003,$C$769)</f>
        <v>2000</v>
      </c>
      <c r="D1003" s="103" t="b">
        <f>IF(AND('AES Indiana Bill Calc.'!$D$17="HL3",'AES Indiana Bill Calc.'!$D$18="No",'AES Indiana Bill Calc.'!$D$20="Yes Before 2018"),'AES Indiana Bill Calc.'!$D$22)</f>
        <v>0</v>
      </c>
      <c r="E1003" s="103" t="b">
        <f>IF(AND('AES Indiana Bill Calc.'!$D$17="HL3",'AES Indiana Bill Calc.'!$D$18="No",'AES Indiana Bill Calc.'!$D$20="Yes Before 2018"),'AES Indiana Bill Calc.'!$D$21)</f>
        <v>0</v>
      </c>
      <c r="F1003" s="36" t="s">
        <v>247</v>
      </c>
      <c r="G1003" s="92" t="e">
        <f>SUM(J1003:M1003,R1003:AA1003)</f>
        <v>#N/A</v>
      </c>
      <c r="H1003" s="19" t="e">
        <f>IF(ISBLANK(B1003),0,+#REF!/B1003)</f>
        <v>#REF!</v>
      </c>
      <c r="J1003" s="51">
        <f>IF(ISBLANK(B1003),0,+J$980)</f>
        <v>500</v>
      </c>
      <c r="K1003" s="17">
        <f>ROUND($B1003*K$980,2)</f>
        <v>-0.04</v>
      </c>
      <c r="L1003" s="17">
        <f>IF(ISBLANK($C1003),0,IF($C1003&lt;$C$981,ROUND($C$981*$L$980,2),IF($C1003&gt;L$981,ROUND(L$981*L$980,2),ROUND($C1003*L$980,2))))</f>
        <v>48180</v>
      </c>
      <c r="M1003" s="17">
        <f>IF($C1003&gt;L$981,ROUND(($C1003-L$981)*M$980,2),0)</f>
        <v>0</v>
      </c>
      <c r="N1003" s="17">
        <f>K1003</f>
        <v>-0.04</v>
      </c>
      <c r="O1003" s="17"/>
      <c r="P1003" s="17"/>
      <c r="Q1003" s="17">
        <f>SUM(L1003:M1003)</f>
        <v>48180</v>
      </c>
      <c r="R1003" s="16" t="e">
        <f>ROUND(SUM(K1003:M1003)*(R1002-1),2)</f>
        <v>#N/A</v>
      </c>
      <c r="S1003" s="17">
        <f>ROUND($B1003*S$980*S1002,2)</f>
        <v>0</v>
      </c>
      <c r="T1003" s="17">
        <f>ROUND($B1003*T$980,2)</f>
        <v>0</v>
      </c>
      <c r="U1003" s="17">
        <f>ROUND($B1003*U$980,2)</f>
        <v>0</v>
      </c>
      <c r="V1003" s="8">
        <f>ROUND($B1003*V$972,2)</f>
        <v>0</v>
      </c>
      <c r="W1003" s="17">
        <f>ROUND($B1003*W$980,2)</f>
        <v>0</v>
      </c>
      <c r="X1003" s="17">
        <f>ROUND($B1003*X$980,2)</f>
        <v>0</v>
      </c>
      <c r="Y1003" s="17">
        <f>ROUND($B1003*Y$980,2)</f>
        <v>0</v>
      </c>
      <c r="Z1003" s="17">
        <f>ROUND($B1003*Z$980,2)</f>
        <v>0</v>
      </c>
      <c r="AA1003" s="17">
        <f>ROUND($B1003*AA$980,2)</f>
        <v>0</v>
      </c>
      <c r="AB1003" s="19">
        <f>SUM(U$980:AA$980)+(-V$980+V987)</f>
        <v>-7.6299999999999996E-3</v>
      </c>
      <c r="AC1003" s="67" t="str">
        <f>+F1003</f>
        <v>HL37</v>
      </c>
    </row>
    <row r="1004" spans="1:29" x14ac:dyDescent="0.2">
      <c r="A1004" s="48"/>
      <c r="B1004" s="103">
        <v>-1</v>
      </c>
      <c r="D1004" s="8"/>
      <c r="E1004" s="9"/>
      <c r="F1004" s="36"/>
      <c r="G1004" s="12"/>
      <c r="H1004" s="12"/>
      <c r="J1004" s="12"/>
      <c r="K1004" s="12"/>
      <c r="L1004" s="12"/>
      <c r="M1004" s="12"/>
      <c r="N1004" s="12"/>
      <c r="O1004" s="12"/>
      <c r="P1004" s="12"/>
      <c r="Q1004" s="12"/>
      <c r="R1004" s="38" t="e">
        <f>VLOOKUP((D1005),'Pwr Factor'!$A$1:$B$52,2)</f>
        <v>#N/A</v>
      </c>
      <c r="S1004" s="50">
        <v>1</v>
      </c>
      <c r="T1004" s="12"/>
      <c r="U1004" s="12"/>
      <c r="V1004" s="12"/>
      <c r="W1004" s="12"/>
      <c r="X1004" s="12"/>
      <c r="Y1004" s="12"/>
      <c r="Z1004" s="12"/>
      <c r="AA1004" s="12"/>
    </row>
    <row r="1005" spans="1:29" x14ac:dyDescent="0.2">
      <c r="A1005" s="1" t="s">
        <v>148</v>
      </c>
      <c r="B1005" s="103">
        <f>IF(AND('AES Indiana Bill Calc.'!$D$17="HL3",'AES Indiana Bill Calc.'!$D$18="Yes 100%",'AES Indiana Bill Calc.'!$D$20="Yes 2018"),'AES Indiana Bill Calc.'!$D$19,-1)</f>
        <v>-1</v>
      </c>
      <c r="C1005" s="103">
        <f>MAX(E1005,$C$769)</f>
        <v>2000</v>
      </c>
      <c r="D1005" s="103" t="b">
        <f>IF(AND('AES Indiana Bill Calc.'!$D$17="HL3",'AES Indiana Bill Calc.'!$D$18="Yes 100%",'AES Indiana Bill Calc.'!$D$20="Yes 2018"),'AES Indiana Bill Calc.'!$D$22)</f>
        <v>0</v>
      </c>
      <c r="E1005" s="103" t="b">
        <f>IF(AND('AES Indiana Bill Calc.'!$D$17="HL3",'AES Indiana Bill Calc.'!$D$18="Yes 100%",'AES Indiana Bill Calc.'!$D$20="Yes 2018"),'AES Indiana Bill Calc.'!$D$21)</f>
        <v>0</v>
      </c>
      <c r="F1005" s="36" t="s">
        <v>248</v>
      </c>
      <c r="G1005" s="92" t="e">
        <f>SUM(J1005:M1005,R1005:AA1005)</f>
        <v>#N/A</v>
      </c>
      <c r="H1005" s="19" t="e">
        <f>IF(ISBLANK(B1005),0,+#REF!/B1005)</f>
        <v>#REF!</v>
      </c>
      <c r="J1005" s="51">
        <f>IF(ISBLANK(B1005),0,+J$980)</f>
        <v>500</v>
      </c>
      <c r="K1005" s="17">
        <f>ROUND($B1005*K$980,2)</f>
        <v>-0.04</v>
      </c>
      <c r="L1005" s="17">
        <f>IF(ISBLANK($C1005),0,IF($C1005&lt;$C$981,ROUND($C$981*$L$980,2),IF($C1005&gt;L$981,ROUND(L$981*L$980,2),ROUND($C1005*L$980,2))))</f>
        <v>48180</v>
      </c>
      <c r="M1005" s="17">
        <f>IF($C1005&gt;L$981,ROUND(($C1005-L$981)*M$980,2),0)</f>
        <v>0</v>
      </c>
      <c r="N1005" s="17">
        <f>K1005</f>
        <v>-0.04</v>
      </c>
      <c r="O1005" s="17"/>
      <c r="P1005" s="17"/>
      <c r="Q1005" s="17">
        <f>SUM(L1005:M1005)</f>
        <v>48180</v>
      </c>
      <c r="R1005" s="16" t="e">
        <f>ROUND(SUM(K1005:M1005)*(R1004-1),2)</f>
        <v>#N/A</v>
      </c>
      <c r="S1005" s="17">
        <f>ROUND($B1005*S$980*S1004,2)</f>
        <v>0</v>
      </c>
      <c r="T1005" s="17">
        <f>ROUND($B1005*T$980,2)</f>
        <v>0</v>
      </c>
      <c r="U1005" s="17">
        <f>ROUND($B1005*U$980,2)</f>
        <v>0</v>
      </c>
      <c r="V1005" s="8">
        <f>ROUND($B1005*V$973,2)</f>
        <v>0</v>
      </c>
      <c r="W1005" s="17">
        <f>ROUND($B1005*W$980,2)</f>
        <v>0</v>
      </c>
      <c r="X1005" s="17">
        <f>ROUND($B1005*X$980,2)</f>
        <v>0</v>
      </c>
      <c r="Y1005" s="17">
        <f>ROUND($B1005*Y$980,2)</f>
        <v>0</v>
      </c>
      <c r="Z1005" s="17">
        <f>ROUND($B1005*Z$980,2)</f>
        <v>0</v>
      </c>
      <c r="AA1005" s="17">
        <f>ROUND($B1005*AA$980,2)</f>
        <v>0</v>
      </c>
      <c r="AB1005" s="19">
        <f>SUM(U$980:AA$980)+(-V$980+V989)</f>
        <v>-7.6299999999999996E-3</v>
      </c>
      <c r="AC1005" s="67" t="str">
        <f>+F1005</f>
        <v>HL38</v>
      </c>
    </row>
    <row r="1006" spans="1:29" x14ac:dyDescent="0.2">
      <c r="A1006" s="48"/>
      <c r="B1006" s="103">
        <v>-1</v>
      </c>
      <c r="D1006" s="8"/>
      <c r="E1006" s="9"/>
      <c r="F1006" s="36"/>
      <c r="G1006" s="12"/>
      <c r="H1006" s="12"/>
      <c r="J1006" s="12"/>
      <c r="K1006" s="12"/>
      <c r="L1006" s="12"/>
      <c r="M1006" s="12"/>
      <c r="N1006" s="12"/>
      <c r="O1006" s="12"/>
      <c r="P1006" s="12"/>
      <c r="Q1006" s="12"/>
      <c r="R1006" s="38" t="e">
        <f>VLOOKUP((D1007),'Pwr Factor'!$A$1:$B$52,2)</f>
        <v>#N/A</v>
      </c>
      <c r="S1006" s="50">
        <v>0.5</v>
      </c>
      <c r="T1006" s="12"/>
      <c r="U1006" s="12"/>
      <c r="V1006" s="12"/>
      <c r="W1006" s="12"/>
      <c r="X1006" s="12"/>
      <c r="Y1006" s="12"/>
      <c r="Z1006" s="12"/>
      <c r="AA1006" s="12"/>
    </row>
    <row r="1007" spans="1:29" x14ac:dyDescent="0.2">
      <c r="A1007" s="1" t="s">
        <v>149</v>
      </c>
      <c r="B1007" s="103">
        <f>IF(AND('AES Indiana Bill Calc.'!$D$17="HL3",'AES Indiana Bill Calc.'!$D$18="Yes 50%",'AES Indiana Bill Calc.'!$D$20="Yes 2018"),'AES Indiana Bill Calc.'!$D$19,-1)</f>
        <v>-1</v>
      </c>
      <c r="C1007" s="103">
        <f>MAX(E1007,$C$769)</f>
        <v>2000</v>
      </c>
      <c r="D1007" s="103" t="b">
        <f>IF(AND('AES Indiana Bill Calc.'!$D$17="HL3",'AES Indiana Bill Calc.'!$D$18="Yes 50%",'AES Indiana Bill Calc.'!$D$20="Yes 2018"),'AES Indiana Bill Calc.'!$D$22)</f>
        <v>0</v>
      </c>
      <c r="E1007" s="103" t="b">
        <f>IF(AND('AES Indiana Bill Calc.'!$D$17="HL3",'AES Indiana Bill Calc.'!$D$18="Yes 50%",'AES Indiana Bill Calc.'!$D$20="Yes 2018"),'AES Indiana Bill Calc.'!$D$21)</f>
        <v>0</v>
      </c>
      <c r="F1007" s="36" t="s">
        <v>248</v>
      </c>
      <c r="G1007" s="92" t="e">
        <f>SUM(J1007:M1007,R1007:AA1007)</f>
        <v>#N/A</v>
      </c>
      <c r="H1007" s="19" t="e">
        <f>IF(ISBLANK(B1007),0,+#REF!/B1007)</f>
        <v>#REF!</v>
      </c>
      <c r="J1007" s="51">
        <f>IF(ISBLANK(B1007),0,+J$980)</f>
        <v>500</v>
      </c>
      <c r="K1007" s="17">
        <f>ROUND($B1007*K$980,2)</f>
        <v>-0.04</v>
      </c>
      <c r="L1007" s="17">
        <f>IF(ISBLANK($C1007),0,IF($C1007&lt;$C$981,ROUND($C$981*$L$980,2),IF($C1007&gt;L$981,ROUND(L$981*L$980,2),ROUND($C1007*L$980,2))))</f>
        <v>48180</v>
      </c>
      <c r="M1007" s="17">
        <f>IF($C1007&gt;L$981,ROUND(($C1007-L$981)*M$980,2),0)</f>
        <v>0</v>
      </c>
      <c r="N1007" s="17">
        <f>K1007</f>
        <v>-0.04</v>
      </c>
      <c r="O1007" s="17"/>
      <c r="P1007" s="17"/>
      <c r="Q1007" s="17">
        <f>SUM(L1007:M1007)</f>
        <v>48180</v>
      </c>
      <c r="R1007" s="16" t="e">
        <f>ROUND(SUM(K1007:M1007)*(R1006-1),2)</f>
        <v>#N/A</v>
      </c>
      <c r="S1007" s="17">
        <f>ROUND($B1007*S$980*S1006,2)</f>
        <v>0</v>
      </c>
      <c r="T1007" s="17">
        <f>ROUND($B1007*T$980,2)</f>
        <v>0</v>
      </c>
      <c r="U1007" s="17">
        <f>ROUND($B1007*U$980,2)</f>
        <v>0</v>
      </c>
      <c r="V1007" s="8">
        <f>ROUND($B1007*V$973,2)</f>
        <v>0</v>
      </c>
      <c r="W1007" s="17">
        <f>ROUND($B1007*W$980,2)</f>
        <v>0</v>
      </c>
      <c r="X1007" s="17">
        <f>ROUND($B1007*X$980,2)</f>
        <v>0</v>
      </c>
      <c r="Y1007" s="17">
        <f>ROUND($B1007*Y$980,2)</f>
        <v>0</v>
      </c>
      <c r="Z1007" s="17">
        <f>ROUND($B1007*Z$980,2)</f>
        <v>0</v>
      </c>
      <c r="AA1007" s="17">
        <f>ROUND($B1007*AA$980,2)</f>
        <v>0</v>
      </c>
      <c r="AB1007" s="19">
        <f>SUM(U$980:AA$980)+(-V$980+V991)</f>
        <v>-7.6299999999999996E-3</v>
      </c>
      <c r="AC1007" s="67" t="str">
        <f>+F1007</f>
        <v>HL38</v>
      </c>
    </row>
    <row r="1008" spans="1:29" x14ac:dyDescent="0.2">
      <c r="A1008" s="9"/>
      <c r="B1008" s="103">
        <v>-1</v>
      </c>
      <c r="D1008" s="8"/>
      <c r="E1008" s="9"/>
      <c r="F1008" s="36"/>
      <c r="G1008" s="12"/>
      <c r="H1008" s="12"/>
      <c r="J1008" s="12"/>
      <c r="K1008" s="12"/>
      <c r="L1008" s="12"/>
      <c r="M1008" s="12"/>
      <c r="N1008" s="12"/>
      <c r="O1008" s="12"/>
      <c r="P1008" s="12"/>
      <c r="Q1008" s="12"/>
      <c r="R1008" s="38" t="e">
        <f>VLOOKUP((D1009),'Pwr Factor'!$A$1:$B$52,2)</f>
        <v>#N/A</v>
      </c>
      <c r="S1008" s="50">
        <v>0.25</v>
      </c>
      <c r="T1008" s="12"/>
      <c r="U1008" s="12"/>
      <c r="V1008" s="12"/>
      <c r="W1008" s="12"/>
      <c r="X1008" s="12"/>
      <c r="Y1008" s="12"/>
      <c r="Z1008" s="12"/>
      <c r="AA1008" s="12"/>
    </row>
    <row r="1009" spans="1:29" x14ac:dyDescent="0.2">
      <c r="A1009" s="1" t="s">
        <v>150</v>
      </c>
      <c r="B1009" s="103">
        <f>IF(AND('AES Indiana Bill Calc.'!$D$17="HL3",'AES Indiana Bill Calc.'!$D$18="Yes 25%",'AES Indiana Bill Calc.'!$D$20="Yes 2018"),'AES Indiana Bill Calc.'!$D$19,-1)</f>
        <v>-1</v>
      </c>
      <c r="C1009" s="103">
        <f>MAX(E1009,$C$769)</f>
        <v>2000</v>
      </c>
      <c r="D1009" s="103" t="b">
        <f>IF(AND('AES Indiana Bill Calc.'!$D$17="HL3",'AES Indiana Bill Calc.'!$D$18="Yes 25%",'AES Indiana Bill Calc.'!$D$20="Yes 2018"),'AES Indiana Bill Calc.'!$D$22)</f>
        <v>0</v>
      </c>
      <c r="E1009" s="103" t="b">
        <f>IF(AND('AES Indiana Bill Calc.'!$D$17="HL3",'AES Indiana Bill Calc.'!$D$18="Yes 25%",'AES Indiana Bill Calc.'!$D$20="Yes 2018"),'AES Indiana Bill Calc.'!$D$21)</f>
        <v>0</v>
      </c>
      <c r="F1009" s="36" t="s">
        <v>248</v>
      </c>
      <c r="G1009" s="92" t="e">
        <f>SUM(J1009:M1009,R1009:AA1009)</f>
        <v>#N/A</v>
      </c>
      <c r="H1009" s="19" t="e">
        <f>IF(ISBLANK(B1009),0,+#REF!/B1009)</f>
        <v>#REF!</v>
      </c>
      <c r="J1009" s="51">
        <f>IF(ISBLANK(B1009),0,+J$980)</f>
        <v>500</v>
      </c>
      <c r="K1009" s="17">
        <f>ROUND($B1009*K$980,2)</f>
        <v>-0.04</v>
      </c>
      <c r="L1009" s="17">
        <f>IF(ISBLANK($C1009),0,IF($C1009&lt;$C$981,ROUND($C$981*$L$980,2),IF($C1009&gt;L$981,ROUND(L$981*L$980,2),ROUND($C1009*L$980,2))))</f>
        <v>48180</v>
      </c>
      <c r="M1009" s="17">
        <f>IF($C1009&gt;L$981,ROUND(($C1009-L$981)*M$980,2),0)</f>
        <v>0</v>
      </c>
      <c r="N1009" s="17">
        <f>K1009</f>
        <v>-0.04</v>
      </c>
      <c r="O1009" s="17"/>
      <c r="P1009" s="17"/>
      <c r="Q1009" s="17">
        <f>SUM(L1009:M1009)</f>
        <v>48180</v>
      </c>
      <c r="R1009" s="16" t="e">
        <f>ROUND(SUM(K1009:M1009)*(R1008-1),2)</f>
        <v>#N/A</v>
      </c>
      <c r="S1009" s="17">
        <f>ROUND($B1009*S$980*S1008,2)</f>
        <v>0</v>
      </c>
      <c r="T1009" s="17">
        <f>ROUND($B1009*T$980,2)</f>
        <v>0</v>
      </c>
      <c r="U1009" s="17">
        <f>ROUND($B1009*U$980,2)</f>
        <v>0</v>
      </c>
      <c r="V1009" s="8">
        <f>ROUND($B1009*V$973,2)</f>
        <v>0</v>
      </c>
      <c r="W1009" s="17">
        <f>ROUND($B1009*W$980,2)</f>
        <v>0</v>
      </c>
      <c r="X1009" s="17">
        <f>ROUND($B1009*X$980,2)</f>
        <v>0</v>
      </c>
      <c r="Y1009" s="17">
        <f>ROUND($B1009*Y$980,2)</f>
        <v>0</v>
      </c>
      <c r="Z1009" s="17">
        <f>ROUND($B1009*Z$980,2)</f>
        <v>0</v>
      </c>
      <c r="AA1009" s="17">
        <f>ROUND($B1009*AA$980,2)</f>
        <v>0</v>
      </c>
      <c r="AB1009" s="19">
        <f>SUM(U$980:AA$980)+(-V$980+V993)</f>
        <v>-7.6299999999999996E-3</v>
      </c>
      <c r="AC1009" s="67" t="str">
        <f>+F1009</f>
        <v>HL38</v>
      </c>
    </row>
    <row r="1010" spans="1:29" x14ac:dyDescent="0.2">
      <c r="A1010" s="9"/>
      <c r="B1010" s="103">
        <v>-1</v>
      </c>
      <c r="D1010" s="8"/>
      <c r="E1010" s="9"/>
      <c r="F1010" s="36"/>
      <c r="G1010" s="12"/>
      <c r="H1010" s="12"/>
      <c r="J1010" s="12"/>
      <c r="K1010" s="12"/>
      <c r="L1010" s="12"/>
      <c r="M1010" s="12"/>
      <c r="N1010" s="12"/>
      <c r="O1010" s="12"/>
      <c r="P1010" s="12"/>
      <c r="Q1010" s="12"/>
      <c r="R1010" s="38" t="e">
        <f>VLOOKUP((D1011),'Pwr Factor'!$A$1:$B$52,2)</f>
        <v>#N/A</v>
      </c>
      <c r="S1010" s="50">
        <v>0.1</v>
      </c>
      <c r="T1010" s="12"/>
      <c r="U1010" s="12"/>
      <c r="V1010" s="12"/>
      <c r="W1010" s="12"/>
      <c r="X1010" s="12"/>
      <c r="Y1010" s="12"/>
      <c r="Z1010" s="12"/>
      <c r="AA1010" s="12"/>
    </row>
    <row r="1011" spans="1:29" x14ac:dyDescent="0.2">
      <c r="A1011" s="1" t="s">
        <v>164</v>
      </c>
      <c r="B1011" s="103">
        <f>IF(AND('AES Indiana Bill Calc.'!$D$17="HL3",'AES Indiana Bill Calc.'!$D$18="Yes 10%",'AES Indiana Bill Calc.'!$D$20="Yes 2018"),'AES Indiana Bill Calc.'!$D$19,-1)</f>
        <v>-1</v>
      </c>
      <c r="C1011" s="103">
        <f>MAX(E1011,$C$769)</f>
        <v>2000</v>
      </c>
      <c r="D1011" s="103" t="b">
        <f>IF(AND('AES Indiana Bill Calc.'!$D$17="HL3",'AES Indiana Bill Calc.'!$D$18="Yes 10%",'AES Indiana Bill Calc.'!$D$20="Yes 2018"),'AES Indiana Bill Calc.'!$D$22)</f>
        <v>0</v>
      </c>
      <c r="E1011" s="103" t="b">
        <f>IF(AND('AES Indiana Bill Calc.'!$D$17="HL3",'AES Indiana Bill Calc.'!$D$18="Yes 10%",'AES Indiana Bill Calc.'!$D$20="Yes 2018"),'AES Indiana Bill Calc.'!$D$21)</f>
        <v>0</v>
      </c>
      <c r="F1011" s="36" t="s">
        <v>248</v>
      </c>
      <c r="G1011" s="92" t="e">
        <f>SUM(J1011:M1011,R1011:AA1011)</f>
        <v>#N/A</v>
      </c>
      <c r="H1011" s="19" t="e">
        <f>IF(ISBLANK(B1011),0,+#REF!/B1011)</f>
        <v>#REF!</v>
      </c>
      <c r="J1011" s="51">
        <f>IF(ISBLANK(B1011),0,+J$980)</f>
        <v>500</v>
      </c>
      <c r="K1011" s="17">
        <f>ROUND($B1011*K$980,2)</f>
        <v>-0.04</v>
      </c>
      <c r="L1011" s="17">
        <f>IF(ISBLANK($C1011),0,IF($C1011&lt;$C$981,ROUND($C$981*$L$980,2),IF($C1011&gt;L$981,ROUND(L$981*L$980,2),ROUND($C1011*L$980,2))))</f>
        <v>48180</v>
      </c>
      <c r="M1011" s="17">
        <f>IF($C1011&gt;L$981,ROUND(($C1011-L$981)*M$980,2),0)</f>
        <v>0</v>
      </c>
      <c r="N1011" s="17">
        <f>K1011</f>
        <v>-0.04</v>
      </c>
      <c r="O1011" s="17"/>
      <c r="P1011" s="17"/>
      <c r="Q1011" s="17">
        <f>SUM(L1011:M1011)</f>
        <v>48180</v>
      </c>
      <c r="R1011" s="16" t="e">
        <f>ROUND(SUM(K1011:M1011)*(R1010-1),2)</f>
        <v>#N/A</v>
      </c>
      <c r="S1011" s="17">
        <f>ROUND($B1011*S$980*S1010,2)</f>
        <v>0</v>
      </c>
      <c r="T1011" s="17">
        <f>ROUND($B1011*T$980,2)</f>
        <v>0</v>
      </c>
      <c r="U1011" s="17">
        <f>ROUND($B1011*U$980,2)</f>
        <v>0</v>
      </c>
      <c r="V1011" s="8">
        <f>ROUND($B1011*V$973,2)</f>
        <v>0</v>
      </c>
      <c r="W1011" s="17">
        <f>ROUND($B1011*W$980,2)</f>
        <v>0</v>
      </c>
      <c r="X1011" s="17">
        <f>ROUND($B1011*X$980,2)</f>
        <v>0</v>
      </c>
      <c r="Y1011" s="17">
        <f>ROUND($B1011*Y$980,2)</f>
        <v>0</v>
      </c>
      <c r="Z1011" s="17">
        <f>ROUND($B1011*Z$980,2)</f>
        <v>0</v>
      </c>
      <c r="AA1011" s="17">
        <f>ROUND($B1011*AA$980,2)</f>
        <v>0</v>
      </c>
      <c r="AB1011" s="19">
        <f>SUM(U$980:AA$980)+(-V$980+V995)</f>
        <v>2.3699999999999997E-3</v>
      </c>
      <c r="AC1011" s="67" t="str">
        <f>+F1011</f>
        <v>HL38</v>
      </c>
    </row>
    <row r="1012" spans="1:29" x14ac:dyDescent="0.2">
      <c r="A1012" s="9"/>
      <c r="B1012" s="103">
        <v>-1</v>
      </c>
      <c r="D1012" s="8"/>
      <c r="E1012" s="9"/>
      <c r="F1012" s="36"/>
      <c r="G1012" s="12"/>
      <c r="H1012" s="12"/>
      <c r="J1012" s="12"/>
      <c r="K1012" s="12"/>
      <c r="L1012" s="12"/>
      <c r="M1012" s="12"/>
      <c r="N1012" s="12"/>
      <c r="O1012" s="12"/>
      <c r="P1012" s="12"/>
      <c r="Q1012" s="12"/>
      <c r="R1012" s="38" t="e">
        <f>VLOOKUP((D1013),'Pwr Factor'!$A$1:$B$52,2)</f>
        <v>#N/A</v>
      </c>
      <c r="S1012" s="50">
        <v>0</v>
      </c>
      <c r="T1012" s="12"/>
      <c r="U1012" s="12"/>
      <c r="V1012" s="12"/>
      <c r="W1012" s="12"/>
      <c r="X1012" s="12"/>
      <c r="Y1012" s="12"/>
      <c r="Z1012" s="12"/>
      <c r="AA1012" s="12"/>
    </row>
    <row r="1013" spans="1:29" x14ac:dyDescent="0.2">
      <c r="A1013" s="1" t="s">
        <v>147</v>
      </c>
      <c r="B1013" s="103">
        <f>IF(AND('AES Indiana Bill Calc.'!$D$17="HL3",'AES Indiana Bill Calc.'!$D$18="No",'AES Indiana Bill Calc.'!$D$20="Yes 2018"),'AES Indiana Bill Calc.'!$D$19,-1)</f>
        <v>-1</v>
      </c>
      <c r="C1013" s="103">
        <f>MAX(E1013,$C$769)</f>
        <v>2000</v>
      </c>
      <c r="D1013" s="103" t="b">
        <f>IF(AND('AES Indiana Bill Calc.'!$D$17="HL3",'AES Indiana Bill Calc.'!$D$18="No",'AES Indiana Bill Calc.'!$D$20="Yes 2018"),'AES Indiana Bill Calc.'!$D$22)</f>
        <v>0</v>
      </c>
      <c r="E1013" s="103" t="b">
        <f>IF(AND('AES Indiana Bill Calc.'!$D$17="HL3",'AES Indiana Bill Calc.'!$D$18="No",'AES Indiana Bill Calc.'!$D$20="Yes 2018"),'AES Indiana Bill Calc.'!$D$21)</f>
        <v>0</v>
      </c>
      <c r="F1013" s="36" t="s">
        <v>248</v>
      </c>
      <c r="G1013" s="92" t="e">
        <f>SUM(J1013:M1013,R1013:AA1013)</f>
        <v>#N/A</v>
      </c>
      <c r="H1013" s="19" t="e">
        <f>IF(ISBLANK(B1013),0,+#REF!/B1013)</f>
        <v>#REF!</v>
      </c>
      <c r="J1013" s="51">
        <f>IF(ISBLANK(B1013),0,+J$980)</f>
        <v>500</v>
      </c>
      <c r="K1013" s="17">
        <f>ROUND($B1013*K$980,2)</f>
        <v>-0.04</v>
      </c>
      <c r="L1013" s="17">
        <f>IF(ISBLANK($C1013),0,IF($C1013&lt;$C$981,ROUND($C$981*$L$980,2),IF($C1013&gt;L$981,ROUND(L$981*L$980,2),ROUND($C1013*L$980,2))))</f>
        <v>48180</v>
      </c>
      <c r="M1013" s="17">
        <f>IF($C1013&gt;L$981,ROUND(($C1013-L$981)*M$980,2),0)</f>
        <v>0</v>
      </c>
      <c r="N1013" s="17">
        <f>K1013</f>
        <v>-0.04</v>
      </c>
      <c r="O1013" s="17"/>
      <c r="P1013" s="17"/>
      <c r="Q1013" s="17">
        <f>SUM(L1013:M1013)</f>
        <v>48180</v>
      </c>
      <c r="R1013" s="16" t="e">
        <f>ROUND(SUM(K1013:M1013)*(R1012-1),2)</f>
        <v>#N/A</v>
      </c>
      <c r="S1013" s="17">
        <f>ROUND($B1013*S$980*S1012,2)</f>
        <v>0</v>
      </c>
      <c r="T1013" s="17">
        <f>ROUND($B1013*T$980,2)</f>
        <v>0</v>
      </c>
      <c r="U1013" s="17">
        <f>ROUND($B1013*U$980,2)</f>
        <v>0</v>
      </c>
      <c r="V1013" s="8">
        <f>ROUND($B1013*V$973,2)</f>
        <v>0</v>
      </c>
      <c r="W1013" s="17">
        <f>ROUND($B1013*W$980,2)</f>
        <v>0</v>
      </c>
      <c r="X1013" s="17">
        <f>ROUND($B1013*X$980,2)</f>
        <v>0</v>
      </c>
      <c r="Y1013" s="17">
        <f>ROUND($B1013*Y$980,2)</f>
        <v>0</v>
      </c>
      <c r="Z1013" s="17">
        <f>ROUND($B1013*Z$980,2)</f>
        <v>0</v>
      </c>
      <c r="AA1013" s="17">
        <f>ROUND($B1013*AA$980,2)</f>
        <v>0</v>
      </c>
      <c r="AB1013" s="19">
        <f>SUM(U$980:AA$980)+(-V$980+V997)</f>
        <v>2.3699999999999997E-3</v>
      </c>
      <c r="AC1013" s="67" t="str">
        <f>+F1013</f>
        <v>HL38</v>
      </c>
    </row>
    <row r="1014" spans="1:29" x14ac:dyDescent="0.2">
      <c r="A1014" s="48"/>
      <c r="B1014" s="103">
        <v>-1</v>
      </c>
      <c r="D1014" s="8"/>
      <c r="E1014" s="9"/>
      <c r="F1014" s="36"/>
      <c r="G1014" s="12"/>
      <c r="H1014" s="12"/>
      <c r="J1014" s="12"/>
      <c r="K1014" s="12"/>
      <c r="L1014" s="12"/>
      <c r="M1014" s="12"/>
      <c r="N1014" s="12"/>
      <c r="O1014" s="12"/>
      <c r="P1014" s="12"/>
      <c r="Q1014" s="12"/>
      <c r="R1014" s="38" t="e">
        <f>VLOOKUP((D1015),'Pwr Factor'!$A$1:$B$52,2)</f>
        <v>#N/A</v>
      </c>
      <c r="S1014" s="50">
        <v>1</v>
      </c>
      <c r="T1014" s="12"/>
      <c r="U1014" s="12"/>
      <c r="V1014" s="12"/>
      <c r="W1014" s="12"/>
      <c r="X1014" s="12"/>
      <c r="Y1014" s="12"/>
      <c r="Z1014" s="12"/>
      <c r="AA1014" s="12"/>
    </row>
    <row r="1015" spans="1:29" x14ac:dyDescent="0.2">
      <c r="A1015" s="1" t="s">
        <v>148</v>
      </c>
      <c r="B1015" s="103">
        <f>IF(AND('AES Indiana Bill Calc.'!$D$17="HL3",'AES Indiana Bill Calc.'!$D$18="Yes 100%",'AES Indiana Bill Calc.'!$D$20="Yes 2019"),'AES Indiana Bill Calc.'!$D$19,-1)</f>
        <v>-1</v>
      </c>
      <c r="C1015" s="103">
        <f>MAX(E1015,$C$769)</f>
        <v>2000</v>
      </c>
      <c r="D1015" s="103" t="b">
        <f>IF(AND('AES Indiana Bill Calc.'!$D$17="HL3",'AES Indiana Bill Calc.'!$D$18="Yes 100%",'AES Indiana Bill Calc.'!$D$20="Yes 2019"),'AES Indiana Bill Calc.'!$D$22)</f>
        <v>0</v>
      </c>
      <c r="E1015" s="103" t="b">
        <f>IF(AND('AES Indiana Bill Calc.'!$D$17="HL3",'AES Indiana Bill Calc.'!$D$18="Yes 100%",'AES Indiana Bill Calc.'!$D$20="Yes 2019"),'AES Indiana Bill Calc.'!$D$21)</f>
        <v>0</v>
      </c>
      <c r="F1015" s="36" t="s">
        <v>249</v>
      </c>
      <c r="G1015" s="92" t="e">
        <f>SUM(J1015:M1015,R1015:AA1015)</f>
        <v>#N/A</v>
      </c>
      <c r="H1015" s="19" t="e">
        <f>IF(ISBLANK(B1015),0,+#REF!/B1015)</f>
        <v>#REF!</v>
      </c>
      <c r="J1015" s="51">
        <f>IF(ISBLANK(B1015),0,+J$980)</f>
        <v>500</v>
      </c>
      <c r="K1015" s="17">
        <f>ROUND($B1015*K$980,2)</f>
        <v>-0.04</v>
      </c>
      <c r="L1015" s="17">
        <f>IF(ISBLANK($C1015),0,IF($C1015&lt;$C$981,ROUND($C$981*$L$980,2),IF($C1015&gt;L$981,ROUND(L$981*L$980,2),ROUND($C1015*L$980,2))))</f>
        <v>48180</v>
      </c>
      <c r="M1015" s="17">
        <f>IF($C1015&gt;L$981,ROUND(($C1015-L$981)*M$980,2),0)</f>
        <v>0</v>
      </c>
      <c r="N1015" s="17">
        <f>K1015</f>
        <v>-0.04</v>
      </c>
      <c r="O1015" s="17"/>
      <c r="P1015" s="17"/>
      <c r="Q1015" s="17">
        <f>SUM(L1015:M1015)</f>
        <v>48180</v>
      </c>
      <c r="R1015" s="16" t="e">
        <f>ROUND(SUM(K1015:M1015)*(R1014-1),2)</f>
        <v>#N/A</v>
      </c>
      <c r="S1015" s="17">
        <f>ROUND($B1015*S$980*S1014,2)</f>
        <v>0</v>
      </c>
      <c r="T1015" s="17">
        <f>ROUND($B1015*T$980,2)</f>
        <v>0</v>
      </c>
      <c r="U1015" s="17">
        <f>ROUND($B1015*U$980,2)</f>
        <v>0</v>
      </c>
      <c r="V1015" s="8">
        <f>ROUND($B1015*V$974,2)</f>
        <v>0</v>
      </c>
      <c r="W1015" s="17">
        <f>ROUND($B1015*W$980,2)</f>
        <v>0</v>
      </c>
      <c r="X1015" s="17">
        <f>ROUND($B1015*X$980,2)</f>
        <v>0</v>
      </c>
      <c r="Y1015" s="17">
        <f>ROUND($B1015*Y$980,2)</f>
        <v>0</v>
      </c>
      <c r="Z1015" s="17">
        <f>ROUND($B1015*Z$980,2)</f>
        <v>0</v>
      </c>
      <c r="AA1015" s="17">
        <f>ROUND($B1015*AA$980,2)</f>
        <v>0</v>
      </c>
      <c r="AB1015" s="19">
        <f>SUM(U$980:AA$980)+(-V$980+V999)</f>
        <v>2.3699999999999997E-3</v>
      </c>
      <c r="AC1015" s="67" t="str">
        <f>+F1015</f>
        <v>HL39</v>
      </c>
    </row>
    <row r="1016" spans="1:29" x14ac:dyDescent="0.2">
      <c r="A1016" s="48"/>
      <c r="B1016" s="103">
        <v>-1</v>
      </c>
      <c r="D1016" s="8"/>
      <c r="E1016" s="9"/>
      <c r="F1016" s="36"/>
      <c r="G1016" s="12"/>
      <c r="H1016" s="12"/>
      <c r="J1016" s="12"/>
      <c r="K1016" s="12"/>
      <c r="L1016" s="12"/>
      <c r="M1016" s="12"/>
      <c r="N1016" s="12"/>
      <c r="O1016" s="12"/>
      <c r="P1016" s="12"/>
      <c r="Q1016" s="12"/>
      <c r="R1016" s="38" t="e">
        <f>VLOOKUP((D1017),'Pwr Factor'!$A$1:$B$52,2)</f>
        <v>#N/A</v>
      </c>
      <c r="S1016" s="50">
        <v>0.5</v>
      </c>
      <c r="T1016" s="12"/>
      <c r="U1016" s="12"/>
      <c r="V1016" s="12"/>
      <c r="W1016" s="12"/>
      <c r="X1016" s="12"/>
      <c r="Y1016" s="12"/>
      <c r="Z1016" s="12"/>
      <c r="AA1016" s="12"/>
    </row>
    <row r="1017" spans="1:29" x14ac:dyDescent="0.2">
      <c r="A1017" s="1" t="s">
        <v>149</v>
      </c>
      <c r="B1017" s="103">
        <f>IF(AND('AES Indiana Bill Calc.'!$D$17="HL3",'AES Indiana Bill Calc.'!$D$18="Yes 50%",'AES Indiana Bill Calc.'!$D$20="Yes 2019"),'AES Indiana Bill Calc.'!$D$19,-1)</f>
        <v>-1</v>
      </c>
      <c r="C1017" s="103">
        <f>MAX(E1017,$C$769)</f>
        <v>2000</v>
      </c>
      <c r="D1017" s="103" t="b">
        <f>IF(AND('AES Indiana Bill Calc.'!$D$17="HL3",'AES Indiana Bill Calc.'!$D$18="Yes 50%",'AES Indiana Bill Calc.'!$D$20="Yes 2019"),'AES Indiana Bill Calc.'!$D$22)</f>
        <v>0</v>
      </c>
      <c r="E1017" s="103" t="b">
        <f>IF(AND('AES Indiana Bill Calc.'!$D$17="HL3",'AES Indiana Bill Calc.'!$D$18="Yes 50%",'AES Indiana Bill Calc.'!$D$20="Yes 2019"),'AES Indiana Bill Calc.'!$D$21)</f>
        <v>0</v>
      </c>
      <c r="F1017" s="36" t="s">
        <v>249</v>
      </c>
      <c r="G1017" s="92" t="e">
        <f>SUM(J1017:M1017,R1017:AA1017)</f>
        <v>#N/A</v>
      </c>
      <c r="H1017" s="19" t="e">
        <f>IF(ISBLANK(B1017),0,+#REF!/B1017)</f>
        <v>#REF!</v>
      </c>
      <c r="J1017" s="51">
        <f>IF(ISBLANK(B1017),0,+J$980)</f>
        <v>500</v>
      </c>
      <c r="K1017" s="17">
        <f>ROUND($B1017*K$980,2)</f>
        <v>-0.04</v>
      </c>
      <c r="L1017" s="17">
        <f>IF(ISBLANK($C1017),0,IF($C1017&lt;$C$981,ROUND($C$981*$L$980,2),IF($C1017&gt;L$981,ROUND(L$981*L$980,2),ROUND($C1017*L$980,2))))</f>
        <v>48180</v>
      </c>
      <c r="M1017" s="17">
        <f>IF($C1017&gt;L$981,ROUND(($C1017-L$981)*M$980,2),0)</f>
        <v>0</v>
      </c>
      <c r="N1017" s="17">
        <f>K1017</f>
        <v>-0.04</v>
      </c>
      <c r="O1017" s="17"/>
      <c r="P1017" s="17"/>
      <c r="Q1017" s="17">
        <f>SUM(L1017:M1017)</f>
        <v>48180</v>
      </c>
      <c r="R1017" s="16" t="e">
        <f>ROUND(SUM(K1017:M1017)*(R1016-1),2)</f>
        <v>#N/A</v>
      </c>
      <c r="S1017" s="17">
        <f>ROUND($B1017*S$980*S1016,2)</f>
        <v>0</v>
      </c>
      <c r="T1017" s="17">
        <f>ROUND($B1017*T$980,2)</f>
        <v>0</v>
      </c>
      <c r="U1017" s="17">
        <f>ROUND($B1017*U$980,2)</f>
        <v>0</v>
      </c>
      <c r="V1017" s="8">
        <f>ROUND($B1017*V$974,2)</f>
        <v>0</v>
      </c>
      <c r="W1017" s="17">
        <f>ROUND($B1017*W$980,2)</f>
        <v>0</v>
      </c>
      <c r="X1017" s="17">
        <f>ROUND($B1017*X$980,2)</f>
        <v>0</v>
      </c>
      <c r="Y1017" s="17">
        <f>ROUND($B1017*Y$980,2)</f>
        <v>0</v>
      </c>
      <c r="Z1017" s="17">
        <f>ROUND($B1017*Z$980,2)</f>
        <v>0</v>
      </c>
      <c r="AA1017" s="17">
        <f>ROUND($B1017*AA$980,2)</f>
        <v>0</v>
      </c>
      <c r="AB1017" s="19">
        <f>SUM(U$980:AA$980)+(-V$980+V1001)</f>
        <v>2.3699999999999997E-3</v>
      </c>
      <c r="AC1017" s="67" t="str">
        <f>+F1017</f>
        <v>HL39</v>
      </c>
    </row>
    <row r="1018" spans="1:29" x14ac:dyDescent="0.2">
      <c r="A1018" s="9"/>
      <c r="B1018" s="103">
        <v>-1</v>
      </c>
      <c r="D1018" s="8"/>
      <c r="E1018" s="9"/>
      <c r="F1018" s="36"/>
      <c r="G1018" s="12"/>
      <c r="H1018" s="12"/>
      <c r="J1018" s="12"/>
      <c r="K1018" s="12"/>
      <c r="L1018" s="12"/>
      <c r="M1018" s="12"/>
      <c r="N1018" s="12"/>
      <c r="O1018" s="12"/>
      <c r="P1018" s="12"/>
      <c r="Q1018" s="12"/>
      <c r="R1018" s="38" t="e">
        <f>VLOOKUP((D1019),'Pwr Factor'!$A$1:$B$52,2)</f>
        <v>#N/A</v>
      </c>
      <c r="S1018" s="50">
        <v>0.25</v>
      </c>
      <c r="T1018" s="12"/>
      <c r="U1018" s="12"/>
      <c r="V1018" s="12"/>
      <c r="W1018" s="12"/>
      <c r="X1018" s="12"/>
      <c r="Y1018" s="12"/>
      <c r="Z1018" s="12"/>
      <c r="AA1018" s="12"/>
    </row>
    <row r="1019" spans="1:29" x14ac:dyDescent="0.2">
      <c r="A1019" s="1" t="s">
        <v>150</v>
      </c>
      <c r="B1019" s="103">
        <f>IF(AND('AES Indiana Bill Calc.'!$D$17="HL3",'AES Indiana Bill Calc.'!$D$18="Yes 25%",'AES Indiana Bill Calc.'!$D$20="Yes 2019"),'AES Indiana Bill Calc.'!$D$19,-1)</f>
        <v>-1</v>
      </c>
      <c r="C1019" s="103">
        <f>MAX(E1019,$C$769)</f>
        <v>2000</v>
      </c>
      <c r="D1019" s="103" t="b">
        <f>IF(AND('AES Indiana Bill Calc.'!$D$17="HL3",'AES Indiana Bill Calc.'!$D$18="Yes 25%",'AES Indiana Bill Calc.'!$D$20="Yes 2019"),'AES Indiana Bill Calc.'!$D$22)</f>
        <v>0</v>
      </c>
      <c r="E1019" s="103" t="b">
        <f>IF(AND('AES Indiana Bill Calc.'!$D$17="HL3",'AES Indiana Bill Calc.'!$D$18="Yes 25%",'AES Indiana Bill Calc.'!$D$20="Yes 2019"),'AES Indiana Bill Calc.'!$D$21)</f>
        <v>0</v>
      </c>
      <c r="F1019" s="36" t="s">
        <v>249</v>
      </c>
      <c r="G1019" s="92" t="e">
        <f>SUM(J1019:M1019,R1019:AA1019)</f>
        <v>#N/A</v>
      </c>
      <c r="H1019" s="19" t="e">
        <f>IF(ISBLANK(B1019),0,+#REF!/B1019)</f>
        <v>#REF!</v>
      </c>
      <c r="J1019" s="51">
        <f>IF(ISBLANK(B1019),0,+J$980)</f>
        <v>500</v>
      </c>
      <c r="K1019" s="17">
        <f>ROUND($B1019*K$980,2)</f>
        <v>-0.04</v>
      </c>
      <c r="L1019" s="17">
        <f>IF(ISBLANK($C1019),0,IF($C1019&lt;$C$981,ROUND($C$981*$L$980,2),IF($C1019&gt;L$981,ROUND(L$981*L$980,2),ROUND($C1019*L$980,2))))</f>
        <v>48180</v>
      </c>
      <c r="M1019" s="17">
        <f>IF($C1019&gt;L$981,ROUND(($C1019-L$981)*M$980,2),0)</f>
        <v>0</v>
      </c>
      <c r="N1019" s="17">
        <f>K1019</f>
        <v>-0.04</v>
      </c>
      <c r="O1019" s="17"/>
      <c r="P1019" s="17"/>
      <c r="Q1019" s="17">
        <f>SUM(L1019:M1019)</f>
        <v>48180</v>
      </c>
      <c r="R1019" s="16" t="e">
        <f>ROUND(SUM(K1019:M1019)*(R1018-1),2)</f>
        <v>#N/A</v>
      </c>
      <c r="S1019" s="17">
        <f>ROUND($B1019*S$980*S1018,2)</f>
        <v>0</v>
      </c>
      <c r="T1019" s="17">
        <f>ROUND($B1019*T$980,2)</f>
        <v>0</v>
      </c>
      <c r="U1019" s="17">
        <f>ROUND($B1019*U$980,2)</f>
        <v>0</v>
      </c>
      <c r="V1019" s="8">
        <f>ROUND($B1019*V$974,2)</f>
        <v>0</v>
      </c>
      <c r="W1019" s="17">
        <f>ROUND($B1019*W$980,2)</f>
        <v>0</v>
      </c>
      <c r="X1019" s="17">
        <f>ROUND($B1019*X$980,2)</f>
        <v>0</v>
      </c>
      <c r="Y1019" s="17">
        <f>ROUND($B1019*Y$980,2)</f>
        <v>0</v>
      </c>
      <c r="Z1019" s="17">
        <f>ROUND($B1019*Z$980,2)</f>
        <v>0</v>
      </c>
      <c r="AA1019" s="17">
        <f>ROUND($B1019*AA$980,2)</f>
        <v>0</v>
      </c>
      <c r="AB1019" s="19">
        <f>SUM(U$980:AA$980)+(-V$980+V1003)</f>
        <v>2.3699999999999997E-3</v>
      </c>
      <c r="AC1019" s="67" t="str">
        <f>+F1019</f>
        <v>HL39</v>
      </c>
    </row>
    <row r="1020" spans="1:29" x14ac:dyDescent="0.2">
      <c r="A1020" s="9"/>
      <c r="B1020" s="103">
        <v>-1</v>
      </c>
      <c r="D1020" s="8"/>
      <c r="E1020" s="9"/>
      <c r="F1020" s="36"/>
      <c r="G1020" s="12"/>
      <c r="H1020" s="12"/>
      <c r="J1020" s="12"/>
      <c r="K1020" s="12"/>
      <c r="L1020" s="12"/>
      <c r="M1020" s="12"/>
      <c r="N1020" s="12"/>
      <c r="O1020" s="12"/>
      <c r="P1020" s="12"/>
      <c r="Q1020" s="12"/>
      <c r="R1020" s="38" t="e">
        <f>VLOOKUP((D1021),'Pwr Factor'!$A$1:$B$52,2)</f>
        <v>#N/A</v>
      </c>
      <c r="S1020" s="50">
        <v>0.1</v>
      </c>
      <c r="T1020" s="12"/>
      <c r="U1020" s="12"/>
      <c r="V1020" s="12"/>
      <c r="W1020" s="12"/>
      <c r="X1020" s="12"/>
      <c r="Y1020" s="12"/>
      <c r="Z1020" s="12"/>
      <c r="AA1020" s="12"/>
    </row>
    <row r="1021" spans="1:29" x14ac:dyDescent="0.2">
      <c r="A1021" s="1" t="s">
        <v>164</v>
      </c>
      <c r="B1021" s="103">
        <f>IF(AND('AES Indiana Bill Calc.'!$D$17="HL3",'AES Indiana Bill Calc.'!$D$18="Yes 10%",'AES Indiana Bill Calc.'!$D$20="Yes 2019"),'AES Indiana Bill Calc.'!$D$19,-1)</f>
        <v>-1</v>
      </c>
      <c r="C1021" s="103">
        <f>MAX(E1021,$C$769)</f>
        <v>2000</v>
      </c>
      <c r="D1021" s="103" t="b">
        <f>IF(AND('AES Indiana Bill Calc.'!$D$17="HL3",'AES Indiana Bill Calc.'!$D$18="Yes 10%",'AES Indiana Bill Calc.'!$D$20="Yes 2019"),'AES Indiana Bill Calc.'!$D$22)</f>
        <v>0</v>
      </c>
      <c r="E1021" s="103" t="b">
        <f>IF(AND('AES Indiana Bill Calc.'!$D$17="HL3",'AES Indiana Bill Calc.'!$D$18="Yes 10%",'AES Indiana Bill Calc.'!$D$20="Yes 2019"),'AES Indiana Bill Calc.'!$D$21)</f>
        <v>0</v>
      </c>
      <c r="F1021" s="36" t="s">
        <v>249</v>
      </c>
      <c r="G1021" s="92" t="e">
        <f>SUM(J1021:M1021,R1021:AA1021)</f>
        <v>#N/A</v>
      </c>
      <c r="H1021" s="19" t="e">
        <f>IF(ISBLANK(B1021),0,+#REF!/B1021)</f>
        <v>#REF!</v>
      </c>
      <c r="J1021" s="51">
        <f>IF(ISBLANK(B1021),0,+J$980)</f>
        <v>500</v>
      </c>
      <c r="K1021" s="17">
        <f>ROUND($B1021*K$980,2)</f>
        <v>-0.04</v>
      </c>
      <c r="L1021" s="17">
        <f>IF(ISBLANK($C1021),0,IF($C1021&lt;$C$981,ROUND($C$981*$L$980,2),IF($C1021&gt;L$981,ROUND(L$981*L$980,2),ROUND($C1021*L$980,2))))</f>
        <v>48180</v>
      </c>
      <c r="M1021" s="17">
        <f>IF($C1021&gt;L$981,ROUND(($C1021-L$981)*M$980,2),0)</f>
        <v>0</v>
      </c>
      <c r="N1021" s="17">
        <f>K1021</f>
        <v>-0.04</v>
      </c>
      <c r="O1021" s="17"/>
      <c r="P1021" s="17"/>
      <c r="Q1021" s="17">
        <f>SUM(L1021:M1021)</f>
        <v>48180</v>
      </c>
      <c r="R1021" s="16" t="e">
        <f>ROUND(SUM(K1021:M1021)*(R1020-1),2)</f>
        <v>#N/A</v>
      </c>
      <c r="S1021" s="17">
        <f>ROUND($B1021*S$980*S1020,2)</f>
        <v>0</v>
      </c>
      <c r="T1021" s="17">
        <f>ROUND($B1021*T$980,2)</f>
        <v>0</v>
      </c>
      <c r="U1021" s="17">
        <f>ROUND($B1021*U$980,2)</f>
        <v>0</v>
      </c>
      <c r="V1021" s="8">
        <f>ROUND($B1021*V$974,2)</f>
        <v>0</v>
      </c>
      <c r="W1021" s="17">
        <f>ROUND($B1021*W$980,2)</f>
        <v>0</v>
      </c>
      <c r="X1021" s="17">
        <f>ROUND($B1021*X$980,2)</f>
        <v>0</v>
      </c>
      <c r="Y1021" s="17">
        <f>ROUND($B1021*Y$980,2)</f>
        <v>0</v>
      </c>
      <c r="Z1021" s="17">
        <f>ROUND($B1021*Z$980,2)</f>
        <v>0</v>
      </c>
      <c r="AA1021" s="17">
        <f>ROUND($B1021*AA$980,2)</f>
        <v>0</v>
      </c>
      <c r="AB1021" s="19">
        <f>SUM(U$980:AA$980)+(-V$980+V1005)</f>
        <v>2.3699999999999997E-3</v>
      </c>
      <c r="AC1021" s="67" t="str">
        <f>+F1021</f>
        <v>HL39</v>
      </c>
    </row>
    <row r="1022" spans="1:29" x14ac:dyDescent="0.2">
      <c r="A1022" s="9"/>
      <c r="B1022" s="103">
        <v>-1</v>
      </c>
      <c r="D1022" s="8"/>
      <c r="E1022" s="9"/>
      <c r="F1022" s="36"/>
      <c r="G1022" s="12"/>
      <c r="H1022" s="12"/>
      <c r="J1022" s="12"/>
      <c r="K1022" s="12"/>
      <c r="L1022" s="12"/>
      <c r="M1022" s="12"/>
      <c r="N1022" s="12"/>
      <c r="O1022" s="12"/>
      <c r="P1022" s="12"/>
      <c r="Q1022" s="12"/>
      <c r="R1022" s="38" t="e">
        <f>VLOOKUP((D1023),'Pwr Factor'!$A$1:$B$52,2)</f>
        <v>#N/A</v>
      </c>
      <c r="S1022" s="50">
        <v>0</v>
      </c>
      <c r="T1022" s="12"/>
      <c r="U1022" s="12"/>
      <c r="V1022" s="12"/>
      <c r="W1022" s="12"/>
      <c r="X1022" s="12"/>
      <c r="Y1022" s="12"/>
      <c r="Z1022" s="12"/>
      <c r="AA1022" s="12"/>
    </row>
    <row r="1023" spans="1:29" x14ac:dyDescent="0.2">
      <c r="A1023" s="1" t="s">
        <v>147</v>
      </c>
      <c r="B1023" s="103">
        <f>IF(AND('AES Indiana Bill Calc.'!$D$17="HL3",'AES Indiana Bill Calc.'!$D$18="No",'AES Indiana Bill Calc.'!$D$20="Yes 2019"),'AES Indiana Bill Calc.'!$D$19,-1)</f>
        <v>-1</v>
      </c>
      <c r="C1023" s="103">
        <f>MAX(E1023,$C$769)</f>
        <v>2000</v>
      </c>
      <c r="D1023" s="103" t="b">
        <f>IF(AND('AES Indiana Bill Calc.'!$D$17="HL3",'AES Indiana Bill Calc.'!$D$18="No",'AES Indiana Bill Calc.'!$D$20="Yes 2019"),'AES Indiana Bill Calc.'!$D$22)</f>
        <v>0</v>
      </c>
      <c r="E1023" s="103" t="b">
        <f>IF(AND('AES Indiana Bill Calc.'!$D$17="HL3",'AES Indiana Bill Calc.'!$D$18="No",'AES Indiana Bill Calc.'!$D$20="Yes 2019"),'AES Indiana Bill Calc.'!$D$21)</f>
        <v>0</v>
      </c>
      <c r="F1023" s="36" t="s">
        <v>249</v>
      </c>
      <c r="G1023" s="92" t="e">
        <f>SUM(J1023:M1023,R1023:AA1023)</f>
        <v>#N/A</v>
      </c>
      <c r="H1023" s="19" t="e">
        <f>IF(ISBLANK(B1023),0,+#REF!/B1023)</f>
        <v>#REF!</v>
      </c>
      <c r="J1023" s="51">
        <f>IF(ISBLANK(B1023),0,+J$980)</f>
        <v>500</v>
      </c>
      <c r="K1023" s="17">
        <f>ROUND($B1023*K$980,2)</f>
        <v>-0.04</v>
      </c>
      <c r="L1023" s="17">
        <f>IF(ISBLANK($C1023),0,IF($C1023&lt;$C$981,ROUND($C$981*$L$980,2),IF($C1023&gt;L$981,ROUND(L$981*L$980,2),ROUND($C1023*L$980,2))))</f>
        <v>48180</v>
      </c>
      <c r="M1023" s="17">
        <f>IF($C1023&gt;L$981,ROUND(($C1023-L$981)*M$980,2),0)</f>
        <v>0</v>
      </c>
      <c r="N1023" s="17">
        <f>K1023</f>
        <v>-0.04</v>
      </c>
      <c r="O1023" s="17"/>
      <c r="P1023" s="17"/>
      <c r="Q1023" s="17">
        <f>SUM(L1023:M1023)</f>
        <v>48180</v>
      </c>
      <c r="R1023" s="16" t="e">
        <f>ROUND(SUM(K1023:M1023)*(R1022-1),2)</f>
        <v>#N/A</v>
      </c>
      <c r="S1023" s="17">
        <f>ROUND($B1023*S$980*S1022,2)</f>
        <v>0</v>
      </c>
      <c r="T1023" s="17">
        <f>ROUND($B1023*T$980,2)</f>
        <v>0</v>
      </c>
      <c r="U1023" s="17">
        <f>ROUND($B1023*U$980,2)</f>
        <v>0</v>
      </c>
      <c r="V1023" s="8">
        <f>ROUND($B1023*V$974,2)</f>
        <v>0</v>
      </c>
      <c r="W1023" s="17">
        <f>ROUND($B1023*W$980,2)</f>
        <v>0</v>
      </c>
      <c r="X1023" s="17">
        <f>ROUND($B1023*X$980,2)</f>
        <v>0</v>
      </c>
      <c r="Y1023" s="17">
        <f>ROUND($B1023*Y$980,2)</f>
        <v>0</v>
      </c>
      <c r="Z1023" s="17">
        <f>ROUND($B1023*Z$980,2)</f>
        <v>0</v>
      </c>
      <c r="AA1023" s="17">
        <f>ROUND($B1023*AA$980,2)</f>
        <v>0</v>
      </c>
      <c r="AB1023" s="19">
        <f>SUM(U$980:AA$980)+(-V$980+V1007)</f>
        <v>2.3699999999999997E-3</v>
      </c>
      <c r="AC1023" s="67" t="str">
        <f>+F1023</f>
        <v>HL39</v>
      </c>
    </row>
    <row r="1024" spans="1:29" x14ac:dyDescent="0.2">
      <c r="A1024" s="48"/>
      <c r="B1024" s="103">
        <v>-1</v>
      </c>
      <c r="D1024" s="8"/>
      <c r="E1024" s="9"/>
      <c r="F1024" s="36"/>
      <c r="G1024" s="12"/>
      <c r="H1024" s="12"/>
      <c r="J1024" s="12"/>
      <c r="K1024" s="12"/>
      <c r="L1024" s="12"/>
      <c r="M1024" s="12"/>
      <c r="N1024" s="12"/>
      <c r="O1024" s="12"/>
      <c r="P1024" s="12"/>
      <c r="Q1024" s="12"/>
      <c r="R1024" s="38" t="e">
        <f>VLOOKUP((D1025),'Pwr Factor'!$A$1:$B$52,2)</f>
        <v>#N/A</v>
      </c>
      <c r="S1024" s="50">
        <v>1</v>
      </c>
      <c r="T1024" s="12"/>
      <c r="U1024" s="12"/>
      <c r="V1024" s="12"/>
      <c r="W1024" s="12"/>
      <c r="X1024" s="12"/>
      <c r="Y1024" s="12"/>
      <c r="Z1024" s="12"/>
      <c r="AA1024" s="12"/>
    </row>
    <row r="1025" spans="1:29" x14ac:dyDescent="0.2">
      <c r="A1025" s="1" t="s">
        <v>148</v>
      </c>
      <c r="B1025" s="103">
        <f>IF(AND('AES Indiana Bill Calc.'!$D$17="HL3",'AES Indiana Bill Calc.'!$D$18="Yes 100%",'AES Indiana Bill Calc.'!$D$20="Yes 2020"),'AES Indiana Bill Calc.'!$D$19,-1)</f>
        <v>-1</v>
      </c>
      <c r="C1025" s="103">
        <f>MAX(E1025,$C$769)</f>
        <v>2000</v>
      </c>
      <c r="D1025" s="103" t="b">
        <f>IF(AND('AES Indiana Bill Calc.'!$D$17="HL3",'AES Indiana Bill Calc.'!$D$18="Yes 100%",'AES Indiana Bill Calc.'!$D$20="Yes 2020"),'AES Indiana Bill Calc.'!$D$22)</f>
        <v>0</v>
      </c>
      <c r="E1025" s="103" t="b">
        <f>IF(AND('AES Indiana Bill Calc.'!$D$17="HL3",'AES Indiana Bill Calc.'!$D$18="Yes 100%",'AES Indiana Bill Calc.'!$D$20="Yes 2020"),'AES Indiana Bill Calc.'!$D$21)</f>
        <v>0</v>
      </c>
      <c r="F1025" s="36" t="s">
        <v>250</v>
      </c>
      <c r="G1025" s="92" t="e">
        <f>SUM(J1025:M1025,R1025:AA1025)</f>
        <v>#N/A</v>
      </c>
      <c r="H1025" s="19" t="e">
        <f>IF(ISBLANK(B1025),0,+#REF!/B1025)</f>
        <v>#REF!</v>
      </c>
      <c r="J1025" s="51">
        <f>IF(ISBLANK(B1025),0,+J$980)</f>
        <v>500</v>
      </c>
      <c r="K1025" s="17">
        <f>ROUND($B1025*K$980,2)</f>
        <v>-0.04</v>
      </c>
      <c r="L1025" s="17">
        <f>IF(ISBLANK($C1025),0,IF($C1025&lt;$C$981,ROUND($C$981*$L$980,2),IF($C1025&gt;L$981,ROUND(L$981*L$980,2),ROUND($C1025*L$980,2))))</f>
        <v>48180</v>
      </c>
      <c r="M1025" s="17">
        <f>IF($C1025&gt;L$981,ROUND(($C1025-L$981)*M$980,2),0)</f>
        <v>0</v>
      </c>
      <c r="N1025" s="17">
        <f>K1025</f>
        <v>-0.04</v>
      </c>
      <c r="O1025" s="17"/>
      <c r="P1025" s="17"/>
      <c r="Q1025" s="17">
        <f>SUM(L1025:M1025)</f>
        <v>48180</v>
      </c>
      <c r="R1025" s="16" t="e">
        <f>ROUND(SUM(K1025:M1025)*(R1024-1),2)</f>
        <v>#N/A</v>
      </c>
      <c r="S1025" s="17">
        <f>ROUND($B1025*S$980*S1024,2)</f>
        <v>0</v>
      </c>
      <c r="T1025" s="17">
        <f>ROUND($B1025*T$980,2)</f>
        <v>0</v>
      </c>
      <c r="U1025" s="17">
        <f>ROUND($B1025*U$980,2)</f>
        <v>0</v>
      </c>
      <c r="V1025" s="8">
        <f>ROUND($B1025*V$975,2)</f>
        <v>0</v>
      </c>
      <c r="W1025" s="17">
        <f>ROUND($B1025*W$980,2)</f>
        <v>0</v>
      </c>
      <c r="X1025" s="17">
        <f>ROUND($B1025*X$980,2)</f>
        <v>0</v>
      </c>
      <c r="Y1025" s="17">
        <f>ROUND($B1025*Y$980,2)</f>
        <v>0</v>
      </c>
      <c r="Z1025" s="17">
        <f>ROUND($B1025*Z$980,2)</f>
        <v>0</v>
      </c>
      <c r="AA1025" s="17">
        <f>ROUND($B1025*AA$980,2)</f>
        <v>0</v>
      </c>
      <c r="AB1025" s="19">
        <f>SUM(U$980:AA$980)+(-V$980+V1009)</f>
        <v>2.3699999999999997E-3</v>
      </c>
      <c r="AC1025" s="67" t="str">
        <f>+F1025</f>
        <v>HL30</v>
      </c>
    </row>
    <row r="1026" spans="1:29" x14ac:dyDescent="0.2">
      <c r="A1026" s="48"/>
      <c r="B1026" s="103">
        <v>-1</v>
      </c>
      <c r="D1026" s="8"/>
      <c r="E1026" s="9"/>
      <c r="F1026" s="36"/>
      <c r="G1026" s="12"/>
      <c r="H1026" s="12"/>
      <c r="J1026" s="12"/>
      <c r="K1026" s="12"/>
      <c r="L1026" s="12"/>
      <c r="M1026" s="12"/>
      <c r="N1026" s="12"/>
      <c r="O1026" s="12"/>
      <c r="P1026" s="12"/>
      <c r="Q1026" s="12"/>
      <c r="R1026" s="38" t="e">
        <f>VLOOKUP((D1027),'Pwr Factor'!$A$1:$B$52,2)</f>
        <v>#N/A</v>
      </c>
      <c r="S1026" s="50">
        <v>0.5</v>
      </c>
      <c r="T1026" s="12"/>
      <c r="U1026" s="12"/>
      <c r="V1026" s="12"/>
      <c r="W1026" s="12"/>
      <c r="X1026" s="12"/>
      <c r="Y1026" s="12"/>
      <c r="Z1026" s="12"/>
      <c r="AA1026" s="12"/>
    </row>
    <row r="1027" spans="1:29" x14ac:dyDescent="0.2">
      <c r="A1027" s="1" t="s">
        <v>149</v>
      </c>
      <c r="B1027" s="103">
        <f>IF(AND('AES Indiana Bill Calc.'!$D$17="HL3",'AES Indiana Bill Calc.'!$D$18="Yes 50%",'AES Indiana Bill Calc.'!$D$20="Yes 2020"),'AES Indiana Bill Calc.'!$D$19,-1)</f>
        <v>-1</v>
      </c>
      <c r="C1027" s="103">
        <f>MAX(E1027,$C$769)</f>
        <v>2000</v>
      </c>
      <c r="D1027" s="103" t="b">
        <f>IF(AND('AES Indiana Bill Calc.'!$D$17="HL3",'AES Indiana Bill Calc.'!$D$18="Yes 50%",'AES Indiana Bill Calc.'!$D$20="Yes 2020"),'AES Indiana Bill Calc.'!$D$22)</f>
        <v>0</v>
      </c>
      <c r="E1027" s="103" t="b">
        <f>IF(AND('AES Indiana Bill Calc.'!$D$17="HL3",'AES Indiana Bill Calc.'!$D$18="Yes 50%",'AES Indiana Bill Calc.'!$D$20="Yes 2020"),'AES Indiana Bill Calc.'!$D$21)</f>
        <v>0</v>
      </c>
      <c r="F1027" s="36" t="s">
        <v>250</v>
      </c>
      <c r="G1027" s="92" t="e">
        <f>SUM(J1027:M1027,R1027:AA1027)</f>
        <v>#N/A</v>
      </c>
      <c r="H1027" s="19" t="e">
        <f>IF(ISBLANK(B1027),0,+#REF!/B1027)</f>
        <v>#REF!</v>
      </c>
      <c r="J1027" s="51">
        <f>IF(ISBLANK(B1027),0,+J$980)</f>
        <v>500</v>
      </c>
      <c r="K1027" s="17">
        <f>ROUND($B1027*K$980,2)</f>
        <v>-0.04</v>
      </c>
      <c r="L1027" s="17">
        <f>IF(ISBLANK($C1027),0,IF($C1027&lt;$C$981,ROUND($C$981*$L$980,2),IF($C1027&gt;L$981,ROUND(L$981*L$980,2),ROUND($C1027*L$980,2))))</f>
        <v>48180</v>
      </c>
      <c r="M1027" s="17">
        <f>IF($C1027&gt;L$981,ROUND(($C1027-L$981)*M$980,2),0)</f>
        <v>0</v>
      </c>
      <c r="N1027" s="17">
        <v>0</v>
      </c>
      <c r="O1027" s="17"/>
      <c r="P1027" s="17"/>
      <c r="Q1027" s="17">
        <f>SUM(L1027:M1027)</f>
        <v>48180</v>
      </c>
      <c r="R1027" s="16" t="e">
        <f>ROUND(SUM(K1027:M1027)*(R1026-1),2)</f>
        <v>#N/A</v>
      </c>
      <c r="S1027" s="17">
        <f>ROUND($B1027*S$980*S1026,2)</f>
        <v>0</v>
      </c>
      <c r="T1027" s="17">
        <f>ROUND($B1027*T$980,2)</f>
        <v>0</v>
      </c>
      <c r="U1027" s="17">
        <f>ROUND($B1027*U$980,2)</f>
        <v>0</v>
      </c>
      <c r="V1027" s="8">
        <f>ROUND($B1027*V$975,2)</f>
        <v>0</v>
      </c>
      <c r="W1027" s="17">
        <f>ROUND($B1027*W$980,2)</f>
        <v>0</v>
      </c>
      <c r="X1027" s="17">
        <f>ROUND($B1027*X$980,2)</f>
        <v>0</v>
      </c>
      <c r="Y1027" s="17">
        <f>ROUND($B1027*Y$980,2)</f>
        <v>0</v>
      </c>
      <c r="Z1027" s="17">
        <f>ROUND($B1027*Z$980,2)</f>
        <v>0</v>
      </c>
      <c r="AA1027" s="17">
        <f>ROUND($B1027*AA$980,2)</f>
        <v>0</v>
      </c>
      <c r="AB1027" s="19">
        <f>SUM(U$980:AA$980)+(-V$980+V1011)</f>
        <v>2.3699999999999997E-3</v>
      </c>
      <c r="AC1027" s="67" t="str">
        <f>+F1027</f>
        <v>HL30</v>
      </c>
    </row>
    <row r="1028" spans="1:29" x14ac:dyDescent="0.2">
      <c r="A1028" s="9"/>
      <c r="B1028" s="103">
        <v>-1</v>
      </c>
      <c r="D1028" s="8"/>
      <c r="E1028" s="9"/>
      <c r="F1028" s="36"/>
      <c r="G1028" s="12"/>
      <c r="H1028" s="12"/>
      <c r="J1028" s="12"/>
      <c r="K1028" s="12"/>
      <c r="L1028" s="12"/>
      <c r="M1028" s="12"/>
      <c r="N1028" s="12"/>
      <c r="O1028" s="12"/>
      <c r="P1028" s="12"/>
      <c r="Q1028" s="12"/>
      <c r="R1028" s="38" t="e">
        <f>VLOOKUP((D1029),'Pwr Factor'!$A$1:$B$52,2)</f>
        <v>#N/A</v>
      </c>
      <c r="S1028" s="50">
        <v>0.25</v>
      </c>
      <c r="T1028" s="12"/>
      <c r="U1028" s="12"/>
      <c r="V1028" s="12"/>
      <c r="W1028" s="12"/>
      <c r="X1028" s="12"/>
      <c r="Y1028" s="12"/>
      <c r="Z1028" s="12"/>
      <c r="AA1028" s="12"/>
    </row>
    <row r="1029" spans="1:29" x14ac:dyDescent="0.2">
      <c r="A1029" s="1" t="s">
        <v>150</v>
      </c>
      <c r="B1029" s="103">
        <f>IF(AND('AES Indiana Bill Calc.'!$D$17="HL3",'AES Indiana Bill Calc.'!$D$18="Yes 25%",'AES Indiana Bill Calc.'!$D$20="Yes 2020"),'AES Indiana Bill Calc.'!$D$19,-1)</f>
        <v>-1</v>
      </c>
      <c r="C1029" s="103">
        <f>MAX(E1029,$C$769)</f>
        <v>2000</v>
      </c>
      <c r="D1029" s="103" t="b">
        <f>IF(AND('AES Indiana Bill Calc.'!$D$17="HL3",'AES Indiana Bill Calc.'!$D$18="Yes 25%",'AES Indiana Bill Calc.'!$D$20="Yes 2020"),'AES Indiana Bill Calc.'!$D$22)</f>
        <v>0</v>
      </c>
      <c r="E1029" s="103" t="b">
        <f>IF(AND('AES Indiana Bill Calc.'!$D$17="HL3",'AES Indiana Bill Calc.'!$D$18="Yes 25%",'AES Indiana Bill Calc.'!$D$20="Yes 2020"),'AES Indiana Bill Calc.'!$D$21)</f>
        <v>0</v>
      </c>
      <c r="F1029" s="36" t="s">
        <v>250</v>
      </c>
      <c r="G1029" s="92" t="e">
        <f>SUM(J1029:M1029,R1029:AA1029)</f>
        <v>#N/A</v>
      </c>
      <c r="H1029" s="19" t="e">
        <f>IF(ISBLANK(B1029),0,+#REF!/B1029)</f>
        <v>#REF!</v>
      </c>
      <c r="J1029" s="51">
        <f>IF(ISBLANK(B1029),0,+J$980)</f>
        <v>500</v>
      </c>
      <c r="K1029" s="17">
        <f>ROUND($B1029*K$980,2)</f>
        <v>-0.04</v>
      </c>
      <c r="L1029" s="17">
        <f>IF(ISBLANK($C1029),0,IF($C1029&lt;$C$981,ROUND($C$981*$L$980,2),IF($C1029&gt;L$981,ROUND(L$981*L$980,2),ROUND($C1029*L$980,2))))</f>
        <v>48180</v>
      </c>
      <c r="M1029" s="17">
        <f>IF($C1029&gt;L$981,ROUND(($C1029-L$981)*M$980,2),0)</f>
        <v>0</v>
      </c>
      <c r="N1029" s="17">
        <f>K1029</f>
        <v>-0.04</v>
      </c>
      <c r="O1029" s="17"/>
      <c r="P1029" s="17"/>
      <c r="Q1029" s="17">
        <f>SUM(L1029:M1029)</f>
        <v>48180</v>
      </c>
      <c r="R1029" s="16" t="e">
        <f>ROUND(SUM(K1029:M1029)*(R1028-1),2)</f>
        <v>#N/A</v>
      </c>
      <c r="S1029" s="17">
        <f>ROUND($B1029*S$980*S1028,2)</f>
        <v>0</v>
      </c>
      <c r="T1029" s="17">
        <f>ROUND($B1029*T$980,2)</f>
        <v>0</v>
      </c>
      <c r="U1029" s="17">
        <f>ROUND($B1029*U$980,2)</f>
        <v>0</v>
      </c>
      <c r="V1029" s="8">
        <f>ROUND($B1029*V$975,2)</f>
        <v>0</v>
      </c>
      <c r="W1029" s="17">
        <f>ROUND($B1029*W$980,2)</f>
        <v>0</v>
      </c>
      <c r="X1029" s="17">
        <f>ROUND($B1029*X$980,2)</f>
        <v>0</v>
      </c>
      <c r="Y1029" s="17">
        <f>ROUND($B1029*Y$980,2)</f>
        <v>0</v>
      </c>
      <c r="Z1029" s="17">
        <f>ROUND($B1029*Z$980,2)</f>
        <v>0</v>
      </c>
      <c r="AA1029" s="17">
        <f>ROUND($B1029*AA$980,2)</f>
        <v>0</v>
      </c>
      <c r="AB1029" s="19">
        <f>SUM(U$980:AA$980)+(-V$980+V1013)</f>
        <v>2.3699999999999997E-3</v>
      </c>
      <c r="AC1029" s="67" t="str">
        <f>+F1029</f>
        <v>HL30</v>
      </c>
    </row>
    <row r="1030" spans="1:29" x14ac:dyDescent="0.2">
      <c r="A1030" s="9"/>
      <c r="B1030" s="103">
        <v>-1</v>
      </c>
      <c r="D1030" s="8"/>
      <c r="E1030" s="9"/>
      <c r="F1030" s="36"/>
      <c r="G1030" s="12"/>
      <c r="H1030" s="12"/>
      <c r="J1030" s="12"/>
      <c r="K1030" s="12"/>
      <c r="L1030" s="12"/>
      <c r="M1030" s="12"/>
      <c r="N1030" s="12"/>
      <c r="O1030" s="12"/>
      <c r="P1030" s="12"/>
      <c r="Q1030" s="12"/>
      <c r="R1030" s="38" t="e">
        <f>VLOOKUP((D1031),'Pwr Factor'!$A$1:$B$52,2)</f>
        <v>#N/A</v>
      </c>
      <c r="S1030" s="50">
        <v>0.1</v>
      </c>
      <c r="T1030" s="12"/>
      <c r="U1030" s="12"/>
      <c r="V1030" s="12"/>
      <c r="W1030" s="12"/>
      <c r="X1030" s="12"/>
      <c r="Y1030" s="12"/>
      <c r="Z1030" s="12"/>
      <c r="AA1030" s="12"/>
    </row>
    <row r="1031" spans="1:29" x14ac:dyDescent="0.2">
      <c r="A1031" s="1" t="s">
        <v>164</v>
      </c>
      <c r="B1031" s="103">
        <f>IF(AND('AES Indiana Bill Calc.'!$D$17="HL3",'AES Indiana Bill Calc.'!$D$18="Yes 10%",'AES Indiana Bill Calc.'!$D$20="Yes 2020"),'AES Indiana Bill Calc.'!$D$19,-1)</f>
        <v>-1</v>
      </c>
      <c r="C1031" s="103">
        <f>MAX(E1031,$C$769)</f>
        <v>2000</v>
      </c>
      <c r="D1031" s="103" t="b">
        <f>IF(AND('AES Indiana Bill Calc.'!$D$17="HL3",'AES Indiana Bill Calc.'!$D$18="Yes 10%",'AES Indiana Bill Calc.'!$D$20="Yes 2020"),'AES Indiana Bill Calc.'!$D$22)</f>
        <v>0</v>
      </c>
      <c r="E1031" s="103" t="b">
        <f>IF(AND('AES Indiana Bill Calc.'!$D$17="HL3",'AES Indiana Bill Calc.'!$D$18="Yes 10%",'AES Indiana Bill Calc.'!$D$20="Yes 2020"),'AES Indiana Bill Calc.'!$D$21)</f>
        <v>0</v>
      </c>
      <c r="F1031" s="36" t="s">
        <v>250</v>
      </c>
      <c r="G1031" s="92" t="e">
        <f>SUM(J1031:M1031,R1031:AA1031)</f>
        <v>#N/A</v>
      </c>
      <c r="H1031" s="19" t="e">
        <f>IF(ISBLANK(B1031),0,+#REF!/B1031)</f>
        <v>#REF!</v>
      </c>
      <c r="J1031" s="51">
        <f>IF(ISBLANK(B1031),0,+J$980)</f>
        <v>500</v>
      </c>
      <c r="K1031" s="17">
        <f>ROUND($B1031*K$980,2)</f>
        <v>-0.04</v>
      </c>
      <c r="L1031" s="17">
        <f>IF(ISBLANK($C1031),0,IF($C1031&lt;$C$981,ROUND($C$981*$L$980,2),IF($C1031&gt;L$981,ROUND(L$981*L$980,2),ROUND($C1031*L$980,2))))</f>
        <v>48180</v>
      </c>
      <c r="M1031" s="17">
        <f>IF($C1031&gt;L$981,ROUND(($C1031-L$981)*M$980,2),0)</f>
        <v>0</v>
      </c>
      <c r="N1031" s="17">
        <f>K1031</f>
        <v>-0.04</v>
      </c>
      <c r="O1031" s="17"/>
      <c r="P1031" s="17"/>
      <c r="Q1031" s="17">
        <f>SUM(L1031:M1031)</f>
        <v>48180</v>
      </c>
      <c r="R1031" s="16" t="e">
        <f>ROUND(SUM(K1031:M1031)*(R1030-1),2)</f>
        <v>#N/A</v>
      </c>
      <c r="S1031" s="17">
        <f>ROUND($B1031*S$980*S1030,2)</f>
        <v>0</v>
      </c>
      <c r="T1031" s="17">
        <f>ROUND($B1031*T$980,2)</f>
        <v>0</v>
      </c>
      <c r="U1031" s="17">
        <f>ROUND($B1031*U$980,2)</f>
        <v>0</v>
      </c>
      <c r="V1031" s="8">
        <f>ROUND($B1031*V$975,2)</f>
        <v>0</v>
      </c>
      <c r="W1031" s="17">
        <f>ROUND($B1031*W$980,2)</f>
        <v>0</v>
      </c>
      <c r="X1031" s="17">
        <f>ROUND($B1031*X$980,2)</f>
        <v>0</v>
      </c>
      <c r="Y1031" s="17">
        <f>ROUND($B1031*Y$980,2)</f>
        <v>0</v>
      </c>
      <c r="Z1031" s="17">
        <f>ROUND($B1031*Z$980,2)</f>
        <v>0</v>
      </c>
      <c r="AA1031" s="17">
        <f>ROUND($B1031*AA$980,2)</f>
        <v>0</v>
      </c>
      <c r="AB1031" s="19">
        <f>SUM(U$980:AA$980)+(-V$980+V1015)</f>
        <v>2.3699999999999997E-3</v>
      </c>
      <c r="AC1031" s="67" t="str">
        <f>+F1031</f>
        <v>HL30</v>
      </c>
    </row>
    <row r="1032" spans="1:29" x14ac:dyDescent="0.2">
      <c r="A1032" s="9"/>
      <c r="B1032" s="103">
        <v>-1</v>
      </c>
      <c r="D1032" s="8"/>
      <c r="E1032" s="9"/>
      <c r="F1032" s="36"/>
      <c r="G1032" s="12"/>
      <c r="H1032" s="12"/>
      <c r="J1032" s="12"/>
      <c r="K1032" s="12"/>
      <c r="L1032" s="12"/>
      <c r="M1032" s="12"/>
      <c r="N1032" s="12"/>
      <c r="O1032" s="12"/>
      <c r="P1032" s="12"/>
      <c r="Q1032" s="12"/>
      <c r="R1032" s="38" t="e">
        <f>VLOOKUP((D1033),'Pwr Factor'!$A$1:$B$52,2)</f>
        <v>#N/A</v>
      </c>
      <c r="S1032" s="50">
        <v>0</v>
      </c>
      <c r="T1032" s="12"/>
      <c r="U1032" s="12"/>
      <c r="V1032" s="12"/>
      <c r="W1032" s="12"/>
      <c r="X1032" s="12"/>
      <c r="Y1032" s="12"/>
      <c r="Z1032" s="12"/>
      <c r="AA1032" s="12"/>
    </row>
    <row r="1033" spans="1:29" x14ac:dyDescent="0.2">
      <c r="A1033" s="1" t="s">
        <v>147</v>
      </c>
      <c r="B1033" s="103">
        <f>IF(AND('AES Indiana Bill Calc.'!$D$17="HL3",'AES Indiana Bill Calc.'!$D$18="No",'AES Indiana Bill Calc.'!$D$20="Yes 2020"),'AES Indiana Bill Calc.'!$D$19,-1)</f>
        <v>-1</v>
      </c>
      <c r="C1033" s="103">
        <f>MAX(E1033,$C$769)</f>
        <v>2000</v>
      </c>
      <c r="D1033" s="103" t="b">
        <f>IF(AND('AES Indiana Bill Calc.'!$D$17="HL3",'AES Indiana Bill Calc.'!$D$18="No",'AES Indiana Bill Calc.'!$D$20="Yes 2020"),'AES Indiana Bill Calc.'!$D$22)</f>
        <v>0</v>
      </c>
      <c r="E1033" s="103" t="b">
        <f>IF(AND('AES Indiana Bill Calc.'!$D$17="HL3",'AES Indiana Bill Calc.'!$D$18="No",'AES Indiana Bill Calc.'!$D$20="Yes 2020"),'AES Indiana Bill Calc.'!$D$21)</f>
        <v>0</v>
      </c>
      <c r="F1033" s="36" t="s">
        <v>250</v>
      </c>
      <c r="G1033" s="92" t="e">
        <f>SUM(J1033:M1033,R1033:AA1033)</f>
        <v>#N/A</v>
      </c>
      <c r="H1033" s="19" t="e">
        <f>IF(ISBLANK(B1033),0,+#REF!/B1033)</f>
        <v>#REF!</v>
      </c>
      <c r="J1033" s="51">
        <f>IF(ISBLANK(B1033),0,+J$980)</f>
        <v>500</v>
      </c>
      <c r="K1033" s="17">
        <f>ROUND($B1033*K$980,2)</f>
        <v>-0.04</v>
      </c>
      <c r="L1033" s="17">
        <f>IF(ISBLANK($C1033),0,IF($C1033&lt;$C$981,ROUND($C$981*$L$980,2),IF($C1033&gt;L$981,ROUND(L$981*L$980,2),ROUND($C1033*L$980,2))))</f>
        <v>48180</v>
      </c>
      <c r="M1033" s="17">
        <f>IF($C1033&gt;L$981,ROUND(($C1033-L$981)*M$980,2),0)</f>
        <v>0</v>
      </c>
      <c r="N1033" s="17">
        <f>K1033</f>
        <v>-0.04</v>
      </c>
      <c r="O1033" s="17"/>
      <c r="P1033" s="17"/>
      <c r="Q1033" s="17">
        <f>SUM(L1033:M1033)</f>
        <v>48180</v>
      </c>
      <c r="R1033" s="16" t="e">
        <f>ROUND(SUM(K1033:M1033)*(R1032-1),2)</f>
        <v>#N/A</v>
      </c>
      <c r="S1033" s="17">
        <f>ROUND($B1033*S$980*S1032,2)</f>
        <v>0</v>
      </c>
      <c r="T1033" s="17">
        <f>ROUND($B1033*T$980,2)</f>
        <v>0</v>
      </c>
      <c r="U1033" s="17">
        <f>ROUND($B1033*U$980,2)</f>
        <v>0</v>
      </c>
      <c r="V1033" s="8">
        <f>ROUND($B1033*V$975,2)</f>
        <v>0</v>
      </c>
      <c r="W1033" s="17">
        <f>ROUND($B1033*W$980,2)</f>
        <v>0</v>
      </c>
      <c r="X1033" s="17">
        <f>ROUND($B1033*X$980,2)</f>
        <v>0</v>
      </c>
      <c r="Y1033" s="17">
        <f>ROUND($B1033*Y$980,2)</f>
        <v>0</v>
      </c>
      <c r="Z1033" s="17">
        <f>ROUND($B1033*Z$980,2)</f>
        <v>0</v>
      </c>
      <c r="AA1033" s="17">
        <f>ROUND($B1033*AA$980,2)</f>
        <v>0</v>
      </c>
      <c r="AB1033" s="19">
        <f>SUM(U$980:AA$980)+(-V$980+V1017)</f>
        <v>2.3699999999999997E-3</v>
      </c>
      <c r="AC1033" s="67" t="str">
        <f>+F1033</f>
        <v>HL30</v>
      </c>
    </row>
    <row r="1034" spans="1:29" x14ac:dyDescent="0.2">
      <c r="A1034" s="48"/>
      <c r="B1034" s="103">
        <v>-1</v>
      </c>
      <c r="D1034" s="8"/>
      <c r="E1034" s="9"/>
      <c r="F1034" s="36"/>
      <c r="G1034" s="12"/>
      <c r="H1034" s="12"/>
      <c r="J1034" s="12"/>
      <c r="K1034" s="12"/>
      <c r="L1034" s="12"/>
      <c r="M1034" s="12"/>
      <c r="N1034" s="12"/>
      <c r="O1034" s="12"/>
      <c r="P1034" s="12"/>
      <c r="Q1034" s="12"/>
      <c r="R1034" s="38" t="e">
        <f>VLOOKUP((D1035),'Pwr Factor'!$A$1:$B$52,2)</f>
        <v>#N/A</v>
      </c>
      <c r="S1034" s="50">
        <v>1</v>
      </c>
      <c r="T1034" s="12"/>
      <c r="U1034" s="12"/>
      <c r="V1034" s="12"/>
      <c r="W1034" s="12"/>
      <c r="X1034" s="12"/>
      <c r="Y1034" s="12"/>
      <c r="Z1034" s="12"/>
      <c r="AA1034" s="12"/>
    </row>
    <row r="1035" spans="1:29" x14ac:dyDescent="0.2">
      <c r="A1035" s="1" t="s">
        <v>148</v>
      </c>
      <c r="B1035" s="103">
        <f>IF(AND('AES Indiana Bill Calc.'!$D$17="HL3",'AES Indiana Bill Calc.'!$D$18="Yes 100%",'AES Indiana Bill Calc.'!$D$20="Yes 2021"),'AES Indiana Bill Calc.'!$D$19,-1)</f>
        <v>-1</v>
      </c>
      <c r="C1035" s="103">
        <f>MAX(E1035,$C$769)</f>
        <v>2000</v>
      </c>
      <c r="D1035" s="103" t="b">
        <f>IF(AND('AES Indiana Bill Calc.'!$D$17="HL3",'AES Indiana Bill Calc.'!$D$18="Yes 100%",'AES Indiana Bill Calc.'!$D$20="Yes 2021"),'AES Indiana Bill Calc.'!$D$22)</f>
        <v>0</v>
      </c>
      <c r="E1035" s="103" t="b">
        <f>IF(AND('AES Indiana Bill Calc.'!$D$17="HL3",'AES Indiana Bill Calc.'!$D$18="Yes 100%",'AES Indiana Bill Calc.'!$D$20="Yes 2021"),'AES Indiana Bill Calc.'!$D$21)</f>
        <v>0</v>
      </c>
      <c r="F1035" s="36" t="s">
        <v>251</v>
      </c>
      <c r="G1035" s="92" t="e">
        <f>SUM(J1035:M1035,R1035:AA1035)</f>
        <v>#N/A</v>
      </c>
      <c r="H1035" s="19" t="e">
        <f>IF(ISBLANK(B1035),0,+#REF!/B1035)</f>
        <v>#REF!</v>
      </c>
      <c r="J1035" s="51">
        <f>IF(ISBLANK(B1035),0,+J$980)</f>
        <v>500</v>
      </c>
      <c r="K1035" s="17">
        <f>ROUND($B1035*K$980,2)</f>
        <v>-0.04</v>
      </c>
      <c r="L1035" s="17">
        <f>IF(ISBLANK($C1035),0,IF($C1035&lt;$C$981,ROUND($C$981*$L$980,2),IF($C1035&gt;L$981,ROUND(L$981*L$980,2),ROUND($C1035*L$980,2))))</f>
        <v>48180</v>
      </c>
      <c r="M1035" s="17">
        <f>IF($C1035&gt;L$981,ROUND(($C1035-L$981)*M$980,2),0)</f>
        <v>0</v>
      </c>
      <c r="N1035" s="17">
        <f>K1035</f>
        <v>-0.04</v>
      </c>
      <c r="O1035" s="17"/>
      <c r="P1035" s="17"/>
      <c r="Q1035" s="17">
        <f>SUM(L1035:M1035)</f>
        <v>48180</v>
      </c>
      <c r="R1035" s="16" t="e">
        <f>ROUND(SUM(K1035:M1035)*(R1034-1),2)</f>
        <v>#N/A</v>
      </c>
      <c r="S1035" s="17">
        <f>ROUND($B1035*S$980*S1034,2)</f>
        <v>0</v>
      </c>
      <c r="T1035" s="17">
        <f>ROUND($B1035*T$980,2)</f>
        <v>0</v>
      </c>
      <c r="U1035" s="17">
        <f>ROUND($B1035*U$980,2)</f>
        <v>0</v>
      </c>
      <c r="V1035" s="8">
        <f>ROUND($B1035*V$976,2)</f>
        <v>0</v>
      </c>
      <c r="W1035" s="17">
        <f>ROUND($B1035*W$980,2)</f>
        <v>0</v>
      </c>
      <c r="X1035" s="17">
        <f>ROUND($B1035*X$980,2)</f>
        <v>0</v>
      </c>
      <c r="Y1035" s="17">
        <f>ROUND($B1035*Y$980,2)</f>
        <v>0</v>
      </c>
      <c r="Z1035" s="17">
        <f>ROUND($B1035*Z$980,2)</f>
        <v>0</v>
      </c>
      <c r="AA1035" s="17">
        <f>ROUND($B1035*AA$980,2)</f>
        <v>0</v>
      </c>
      <c r="AB1035" s="19">
        <f>SUM(U$980:AA$980)+(-V$980+V1019)</f>
        <v>2.3699999999999997E-3</v>
      </c>
      <c r="AC1035" s="67" t="str">
        <f>+F1035</f>
        <v>HL31</v>
      </c>
    </row>
    <row r="1036" spans="1:29" x14ac:dyDescent="0.2">
      <c r="A1036" s="48"/>
      <c r="B1036" s="103">
        <v>-1</v>
      </c>
      <c r="D1036" s="8"/>
      <c r="E1036" s="9"/>
      <c r="F1036" s="36"/>
      <c r="G1036" s="12"/>
      <c r="H1036" s="12"/>
      <c r="J1036" s="12"/>
      <c r="K1036" s="12"/>
      <c r="L1036" s="12"/>
      <c r="M1036" s="12"/>
      <c r="N1036" s="12"/>
      <c r="O1036" s="12"/>
      <c r="P1036" s="12"/>
      <c r="Q1036" s="12"/>
      <c r="R1036" s="38" t="e">
        <f>VLOOKUP((D1037),'Pwr Factor'!$A$1:$B$52,2)</f>
        <v>#N/A</v>
      </c>
      <c r="S1036" s="50">
        <v>0.5</v>
      </c>
      <c r="T1036" s="12"/>
      <c r="U1036" s="12"/>
      <c r="V1036" s="12"/>
      <c r="W1036" s="12"/>
      <c r="X1036" s="12"/>
      <c r="Y1036" s="12"/>
      <c r="Z1036" s="12"/>
      <c r="AA1036" s="12"/>
    </row>
    <row r="1037" spans="1:29" x14ac:dyDescent="0.2">
      <c r="A1037" s="1" t="s">
        <v>149</v>
      </c>
      <c r="B1037" s="103">
        <f>IF(AND('AES Indiana Bill Calc.'!$D$17="HL3",'AES Indiana Bill Calc.'!$D$18="Yes 50%",'AES Indiana Bill Calc.'!$D$20="Yes 2021"),'AES Indiana Bill Calc.'!$D$19,-1)</f>
        <v>-1</v>
      </c>
      <c r="C1037" s="103">
        <f>MAX(E1037,$C$769)</f>
        <v>2000</v>
      </c>
      <c r="D1037" s="103" t="b">
        <f>IF(AND('AES Indiana Bill Calc.'!$D$17="HL3",'AES Indiana Bill Calc.'!$D$18="Yes 50%",'AES Indiana Bill Calc.'!$D$20="Yes 2021"),'AES Indiana Bill Calc.'!$D$22)</f>
        <v>0</v>
      </c>
      <c r="E1037" s="103" t="b">
        <f>IF(AND('AES Indiana Bill Calc.'!$D$17="HL3",'AES Indiana Bill Calc.'!$D$18="Yes 50%",'AES Indiana Bill Calc.'!$D$20="Yes 2021"),'AES Indiana Bill Calc.'!$D$21)</f>
        <v>0</v>
      </c>
      <c r="F1037" s="36" t="s">
        <v>251</v>
      </c>
      <c r="G1037" s="92" t="e">
        <f>SUM(J1037:M1037,R1037:AA1037)</f>
        <v>#N/A</v>
      </c>
      <c r="H1037" s="19" t="e">
        <f>IF(ISBLANK(B1037),0,+#REF!/B1037)</f>
        <v>#REF!</v>
      </c>
      <c r="J1037" s="51">
        <f>IF(ISBLANK(B1037),0,+J$980)</f>
        <v>500</v>
      </c>
      <c r="K1037" s="17">
        <f>ROUND($B1037*K$980,2)</f>
        <v>-0.04</v>
      </c>
      <c r="L1037" s="17">
        <f>IF(ISBLANK($C1037),0,IF($C1037&lt;$C$981,ROUND($C$981*$L$980,2),IF($C1037&gt;L$981,ROUND(L$981*L$980,2),ROUND($C1037*L$980,2))))</f>
        <v>48180</v>
      </c>
      <c r="M1037" s="17">
        <f>IF($C1037&gt;L$981,ROUND(($C1037-L$981)*M$980,2),0)</f>
        <v>0</v>
      </c>
      <c r="N1037" s="17">
        <f>K1037</f>
        <v>-0.04</v>
      </c>
      <c r="O1037" s="17"/>
      <c r="P1037" s="17"/>
      <c r="Q1037" s="17">
        <f>SUM(L1037:M1037)</f>
        <v>48180</v>
      </c>
      <c r="R1037" s="16" t="e">
        <f>ROUND(SUM(K1037:M1037)*(R1036-1),2)</f>
        <v>#N/A</v>
      </c>
      <c r="S1037" s="17">
        <f>ROUND($B1037*S$980*S1036,2)</f>
        <v>0</v>
      </c>
      <c r="T1037" s="17">
        <f>ROUND($B1037*T$980,2)</f>
        <v>0</v>
      </c>
      <c r="U1037" s="17">
        <f>ROUND($B1037*U$980,2)</f>
        <v>0</v>
      </c>
      <c r="V1037" s="8">
        <f>ROUND($B1037*V$976,2)</f>
        <v>0</v>
      </c>
      <c r="W1037" s="17">
        <f>ROUND($B1037*W$980,2)</f>
        <v>0</v>
      </c>
      <c r="X1037" s="17">
        <f>ROUND($B1037*X$980,2)</f>
        <v>0</v>
      </c>
      <c r="Y1037" s="17">
        <f>ROUND($B1037*Y$980,2)</f>
        <v>0</v>
      </c>
      <c r="Z1037" s="17">
        <f>ROUND($B1037*Z$980,2)</f>
        <v>0</v>
      </c>
      <c r="AA1037" s="17">
        <f>ROUND($B1037*AA$980,2)</f>
        <v>0</v>
      </c>
      <c r="AB1037" s="19">
        <f>SUM(U$980:AA$980)+(-V$980+V1021)</f>
        <v>2.3699999999999997E-3</v>
      </c>
      <c r="AC1037" s="67" t="str">
        <f>+F1037</f>
        <v>HL31</v>
      </c>
    </row>
    <row r="1038" spans="1:29" x14ac:dyDescent="0.2">
      <c r="A1038" s="9"/>
      <c r="B1038" s="103">
        <v>-1</v>
      </c>
      <c r="D1038" s="8"/>
      <c r="E1038" s="9"/>
      <c r="F1038" s="36"/>
      <c r="G1038" s="12"/>
      <c r="H1038" s="12"/>
      <c r="J1038" s="12"/>
      <c r="K1038" s="12"/>
      <c r="L1038" s="12"/>
      <c r="M1038" s="12"/>
      <c r="N1038" s="12"/>
      <c r="O1038" s="12"/>
      <c r="P1038" s="12"/>
      <c r="Q1038" s="12"/>
      <c r="R1038" s="38" t="e">
        <f>VLOOKUP((D1039),'Pwr Factor'!$A$1:$B$52,2)</f>
        <v>#N/A</v>
      </c>
      <c r="S1038" s="50">
        <v>0.25</v>
      </c>
      <c r="T1038" s="12"/>
      <c r="U1038" s="12"/>
      <c r="V1038" s="12"/>
      <c r="W1038" s="12"/>
      <c r="X1038" s="12"/>
      <c r="Y1038" s="12"/>
      <c r="Z1038" s="12"/>
      <c r="AA1038" s="12"/>
    </row>
    <row r="1039" spans="1:29" x14ac:dyDescent="0.2">
      <c r="A1039" s="1" t="s">
        <v>150</v>
      </c>
      <c r="B1039" s="103">
        <f>IF(AND('AES Indiana Bill Calc.'!$D$17="HL3",'AES Indiana Bill Calc.'!$D$18="Yes 25%",'AES Indiana Bill Calc.'!$D$20="Yes 2021"),'AES Indiana Bill Calc.'!$D$19,-1)</f>
        <v>-1</v>
      </c>
      <c r="C1039" s="103">
        <f>MAX(E1039,$C$769)</f>
        <v>2000</v>
      </c>
      <c r="D1039" s="103" t="b">
        <f>IF(AND('AES Indiana Bill Calc.'!$D$17="HL3",'AES Indiana Bill Calc.'!$D$18="Yes 25%",'AES Indiana Bill Calc.'!$D$20="Yes 2021"),'AES Indiana Bill Calc.'!$D$22)</f>
        <v>0</v>
      </c>
      <c r="E1039" s="103" t="b">
        <f>IF(AND('AES Indiana Bill Calc.'!$D$17="HL3",'AES Indiana Bill Calc.'!$D$18="Yes 25%",'AES Indiana Bill Calc.'!$D$20="Yes 2021"),'AES Indiana Bill Calc.'!$D$21)</f>
        <v>0</v>
      </c>
      <c r="F1039" s="36" t="s">
        <v>251</v>
      </c>
      <c r="G1039" s="92" t="e">
        <f>SUM(J1039:M1039,R1039:AA1039)</f>
        <v>#N/A</v>
      </c>
      <c r="H1039" s="19" t="e">
        <f>IF(ISBLANK(B1039),0,+#REF!/B1039)</f>
        <v>#REF!</v>
      </c>
      <c r="J1039" s="51">
        <f>IF(ISBLANK(B1039),0,+J$980)</f>
        <v>500</v>
      </c>
      <c r="K1039" s="17">
        <f>ROUND($B1039*K$980,2)</f>
        <v>-0.04</v>
      </c>
      <c r="L1039" s="17">
        <f>IF(ISBLANK($C1039),0,IF($C1039&lt;$C$981,ROUND($C$981*$L$980,2),IF($C1039&gt;L$981,ROUND(L$981*L$980,2),ROUND($C1039*L$980,2))))</f>
        <v>48180</v>
      </c>
      <c r="M1039" s="17">
        <f>IF($C1039&gt;L$981,ROUND(($C1039-L$981)*M$980,2),0)</f>
        <v>0</v>
      </c>
      <c r="N1039" s="17">
        <f>K1039</f>
        <v>-0.04</v>
      </c>
      <c r="O1039" s="17"/>
      <c r="P1039" s="17"/>
      <c r="Q1039" s="17">
        <f>SUM(L1039:M1039)</f>
        <v>48180</v>
      </c>
      <c r="R1039" s="16" t="e">
        <f>ROUND(SUM(K1039:M1039)*(R1038-1),2)</f>
        <v>#N/A</v>
      </c>
      <c r="S1039" s="17">
        <f>ROUND($B1039*S$980*S1038,2)</f>
        <v>0</v>
      </c>
      <c r="T1039" s="17">
        <f>ROUND($B1039*T$980,2)</f>
        <v>0</v>
      </c>
      <c r="U1039" s="17">
        <f>ROUND($B1039*U$980,2)</f>
        <v>0</v>
      </c>
      <c r="V1039" s="8">
        <f>ROUND($B1039*V$976,2)</f>
        <v>0</v>
      </c>
      <c r="W1039" s="17">
        <f>ROUND($B1039*W$980,2)</f>
        <v>0</v>
      </c>
      <c r="X1039" s="17">
        <f>ROUND($B1039*X$980,2)</f>
        <v>0</v>
      </c>
      <c r="Y1039" s="17">
        <f>ROUND($B1039*Y$980,2)</f>
        <v>0</v>
      </c>
      <c r="Z1039" s="17">
        <f>ROUND($B1039*Z$980,2)</f>
        <v>0</v>
      </c>
      <c r="AA1039" s="17">
        <f>ROUND($B1039*AA$980,2)</f>
        <v>0</v>
      </c>
      <c r="AB1039" s="19">
        <f>SUM(U$980:AA$980)+(-V$980+V1023)</f>
        <v>2.3699999999999997E-3</v>
      </c>
      <c r="AC1039" s="67" t="str">
        <f>+F1039</f>
        <v>HL31</v>
      </c>
    </row>
    <row r="1040" spans="1:29" x14ac:dyDescent="0.2">
      <c r="A1040" s="9"/>
      <c r="B1040" s="103">
        <v>-1</v>
      </c>
      <c r="D1040" s="8"/>
      <c r="E1040" s="9"/>
      <c r="F1040" s="36"/>
      <c r="G1040" s="12"/>
      <c r="H1040" s="12"/>
      <c r="J1040" s="12"/>
      <c r="K1040" s="12"/>
      <c r="L1040" s="12"/>
      <c r="M1040" s="12"/>
      <c r="N1040" s="12"/>
      <c r="O1040" s="12"/>
      <c r="P1040" s="12"/>
      <c r="Q1040" s="12"/>
      <c r="R1040" s="38" t="e">
        <f>VLOOKUP((D1041),'Pwr Factor'!$A$1:$B$52,2)</f>
        <v>#N/A</v>
      </c>
      <c r="S1040" s="50">
        <v>0.1</v>
      </c>
      <c r="T1040" s="12"/>
      <c r="U1040" s="12"/>
      <c r="V1040" s="12"/>
      <c r="W1040" s="12"/>
      <c r="X1040" s="12"/>
      <c r="Y1040" s="12"/>
      <c r="Z1040" s="12"/>
      <c r="AA1040" s="12"/>
    </row>
    <row r="1041" spans="1:29" x14ac:dyDescent="0.2">
      <c r="A1041" s="1" t="s">
        <v>164</v>
      </c>
      <c r="B1041" s="103">
        <f>IF(AND('AES Indiana Bill Calc.'!$D$17="HL3",'AES Indiana Bill Calc.'!$D$18="Yes 10%",'AES Indiana Bill Calc.'!$D$20="Yes 2021"),'AES Indiana Bill Calc.'!$D$19,-1)</f>
        <v>-1</v>
      </c>
      <c r="C1041" s="103">
        <f>MAX(E1041,$C$769)</f>
        <v>2000</v>
      </c>
      <c r="D1041" s="103" t="b">
        <f>IF(AND('AES Indiana Bill Calc.'!$D$17="HL3",'AES Indiana Bill Calc.'!$D$18="Yes 10%",'AES Indiana Bill Calc.'!$D$20="Yes 2021"),'AES Indiana Bill Calc.'!$D$22)</f>
        <v>0</v>
      </c>
      <c r="E1041" s="103" t="b">
        <f>IF(AND('AES Indiana Bill Calc.'!$D$17="HL3",'AES Indiana Bill Calc.'!$D$18="Yes 10%",'AES Indiana Bill Calc.'!$D$20="Yes 2021"),'AES Indiana Bill Calc.'!$D$21)</f>
        <v>0</v>
      </c>
      <c r="F1041" s="36" t="s">
        <v>251</v>
      </c>
      <c r="G1041" s="92" t="e">
        <f>SUM(J1041:M1041,R1041:AA1041)</f>
        <v>#N/A</v>
      </c>
      <c r="H1041" s="19" t="e">
        <f>IF(ISBLANK(B1041),0,+#REF!/B1041)</f>
        <v>#REF!</v>
      </c>
      <c r="J1041" s="51">
        <f>IF(ISBLANK(B1041),0,+J$980)</f>
        <v>500</v>
      </c>
      <c r="K1041" s="17">
        <f>ROUND($B1041*K$980,2)</f>
        <v>-0.04</v>
      </c>
      <c r="L1041" s="17">
        <f>IF(ISBLANK($C1041),0,IF($C1041&lt;$C$981,ROUND($C$981*$L$980,2),IF($C1041&gt;L$981,ROUND(L$981*L$980,2),ROUND($C1041*L$980,2))))</f>
        <v>48180</v>
      </c>
      <c r="M1041" s="17">
        <f>IF($C1041&gt;L$981,ROUND(($C1041-L$981)*M$980,2),0)</f>
        <v>0</v>
      </c>
      <c r="N1041" s="17">
        <f>K1041</f>
        <v>-0.04</v>
      </c>
      <c r="O1041" s="17"/>
      <c r="P1041" s="17"/>
      <c r="Q1041" s="17">
        <f>SUM(L1041:M1041)</f>
        <v>48180</v>
      </c>
      <c r="R1041" s="16" t="e">
        <f>ROUND(SUM(K1041:M1041)*(R1040-1),2)</f>
        <v>#N/A</v>
      </c>
      <c r="S1041" s="17">
        <f>ROUND($B1041*S$980*S1040,2)</f>
        <v>0</v>
      </c>
      <c r="T1041" s="17">
        <f>ROUND($B1041*T$980,2)</f>
        <v>0</v>
      </c>
      <c r="U1041" s="17">
        <f>ROUND($B1041*U$980,2)</f>
        <v>0</v>
      </c>
      <c r="V1041" s="8">
        <f>ROUND($B1041*V$976,2)</f>
        <v>0</v>
      </c>
      <c r="W1041" s="17">
        <f>ROUND($B1041*W$980,2)</f>
        <v>0</v>
      </c>
      <c r="X1041" s="17">
        <f>ROUND($B1041*X$980,2)</f>
        <v>0</v>
      </c>
      <c r="Y1041" s="17">
        <f>ROUND($B1041*Y$980,2)</f>
        <v>0</v>
      </c>
      <c r="Z1041" s="17">
        <f>ROUND($B1041*Z$980,2)</f>
        <v>0</v>
      </c>
      <c r="AA1041" s="17">
        <f>ROUND($B1041*AA$980,2)</f>
        <v>0</v>
      </c>
      <c r="AB1041" s="19">
        <f>SUM(U$980:AA$980)+(-V$980+V1025)</f>
        <v>2.3699999999999997E-3</v>
      </c>
      <c r="AC1041" s="67" t="str">
        <f>+F1041</f>
        <v>HL31</v>
      </c>
    </row>
    <row r="1042" spans="1:29" x14ac:dyDescent="0.2">
      <c r="A1042" s="9"/>
      <c r="B1042" s="103">
        <v>-1</v>
      </c>
      <c r="D1042" s="8"/>
      <c r="E1042" s="9"/>
      <c r="F1042" s="36"/>
      <c r="G1042" s="12"/>
      <c r="H1042" s="12"/>
      <c r="J1042" s="12"/>
      <c r="K1042" s="12"/>
      <c r="L1042" s="12"/>
      <c r="M1042" s="12"/>
      <c r="N1042" s="12"/>
      <c r="O1042" s="12"/>
      <c r="P1042" s="12"/>
      <c r="Q1042" s="12"/>
      <c r="R1042" s="38" t="e">
        <f>VLOOKUP((D1043),'Pwr Factor'!$A$1:$B$52,2)</f>
        <v>#N/A</v>
      </c>
      <c r="S1042" s="50">
        <v>0</v>
      </c>
      <c r="T1042" s="12"/>
      <c r="U1042" s="12"/>
      <c r="V1042" s="12"/>
      <c r="W1042" s="12"/>
      <c r="X1042" s="12"/>
      <c r="Y1042" s="12"/>
      <c r="Z1042" s="12"/>
      <c r="AA1042" s="12"/>
    </row>
    <row r="1043" spans="1:29" x14ac:dyDescent="0.2">
      <c r="A1043" s="1" t="s">
        <v>147</v>
      </c>
      <c r="B1043" s="103">
        <f>IF(AND('AES Indiana Bill Calc.'!$D$17="HL3",'AES Indiana Bill Calc.'!$D$18="No",'AES Indiana Bill Calc.'!$D$20="Yes 2021"),'AES Indiana Bill Calc.'!$D$19,-1)</f>
        <v>-1</v>
      </c>
      <c r="C1043" s="103">
        <f>MAX(E1043,$C$769)</f>
        <v>2000</v>
      </c>
      <c r="D1043" s="103" t="b">
        <f>IF(AND('AES Indiana Bill Calc.'!$D$17="HL3",'AES Indiana Bill Calc.'!$D$18="No",'AES Indiana Bill Calc.'!$D$20="Yes 2021"),'AES Indiana Bill Calc.'!$D$22)</f>
        <v>0</v>
      </c>
      <c r="E1043" s="103" t="b">
        <f>IF(AND('AES Indiana Bill Calc.'!$D$17="HL3",'AES Indiana Bill Calc.'!$D$18="No",'AES Indiana Bill Calc.'!$D$20="Yes 2021"),'AES Indiana Bill Calc.'!$D$21)</f>
        <v>0</v>
      </c>
      <c r="F1043" s="36" t="s">
        <v>251</v>
      </c>
      <c r="G1043" s="92" t="e">
        <f>SUM(J1043:M1043,R1043:AA1043)</f>
        <v>#N/A</v>
      </c>
      <c r="H1043" s="19" t="e">
        <f>IF(ISBLANK(B1043),0,+#REF!/B1043)</f>
        <v>#REF!</v>
      </c>
      <c r="J1043" s="51">
        <f>IF(ISBLANK(B1043),0,+J$980)</f>
        <v>500</v>
      </c>
      <c r="K1043" s="17">
        <f>ROUND($B1043*K$980,2)</f>
        <v>-0.04</v>
      </c>
      <c r="L1043" s="17">
        <f>IF(ISBLANK($C1043),0,IF($C1043&lt;$C$981,ROUND($C$981*$L$980,2),IF($C1043&gt;L$981,ROUND(L$981*L$980,2),ROUND($C1043*L$980,2))))</f>
        <v>48180</v>
      </c>
      <c r="M1043" s="17">
        <f>IF($C1043&gt;L$981,ROUND(($C1043-L$981)*M$980,2),0)</f>
        <v>0</v>
      </c>
      <c r="N1043" s="17">
        <f>K1043</f>
        <v>-0.04</v>
      </c>
      <c r="O1043" s="17"/>
      <c r="P1043" s="17"/>
      <c r="Q1043" s="17">
        <f>SUM(L1043:M1043)</f>
        <v>48180</v>
      </c>
      <c r="R1043" s="16" t="e">
        <f>ROUND(SUM(K1043:M1043)*(R1042-1),2)</f>
        <v>#N/A</v>
      </c>
      <c r="S1043" s="17">
        <f>ROUND($B1043*S$980*S1042,2)</f>
        <v>0</v>
      </c>
      <c r="T1043" s="17">
        <f>ROUND($B1043*T$980,2)</f>
        <v>0</v>
      </c>
      <c r="U1043" s="17">
        <f>ROUND($B1043*U$980,2)</f>
        <v>0</v>
      </c>
      <c r="V1043" s="8">
        <f>ROUND($B1043*V$976,2)</f>
        <v>0</v>
      </c>
      <c r="W1043" s="17">
        <f>ROUND($B1043*W$980,2)</f>
        <v>0</v>
      </c>
      <c r="X1043" s="17">
        <f>ROUND($B1043*X$980,2)</f>
        <v>0</v>
      </c>
      <c r="Y1043" s="17">
        <f>ROUND($B1043*Y$980,2)</f>
        <v>0</v>
      </c>
      <c r="Z1043" s="17">
        <f>ROUND($B1043*Z$980,2)</f>
        <v>0</v>
      </c>
      <c r="AA1043" s="17">
        <f>ROUND($B1043*AA$980,2)</f>
        <v>0</v>
      </c>
      <c r="AB1043" s="19">
        <f>SUM(U$980:AA$980)+(-V$980+V1027)</f>
        <v>2.3699999999999997E-3</v>
      </c>
      <c r="AC1043" s="67" t="str">
        <f>+F1043</f>
        <v>HL31</v>
      </c>
    </row>
    <row r="1044" spans="1:29" x14ac:dyDescent="0.2">
      <c r="A1044" s="48"/>
      <c r="B1044" s="103">
        <v>-1</v>
      </c>
      <c r="D1044" s="8"/>
      <c r="E1044" s="9"/>
      <c r="F1044" s="36"/>
      <c r="G1044" s="12"/>
      <c r="H1044" s="12"/>
      <c r="J1044" s="12"/>
      <c r="K1044" s="12"/>
      <c r="L1044" s="12"/>
      <c r="M1044" s="12"/>
      <c r="N1044" s="12"/>
      <c r="O1044" s="12"/>
      <c r="P1044" s="12"/>
      <c r="Q1044" s="12"/>
      <c r="R1044" s="38" t="e">
        <f>VLOOKUP((D1045),'Pwr Factor'!$A$1:$B$52,2)</f>
        <v>#N/A</v>
      </c>
      <c r="S1044" s="50">
        <v>1</v>
      </c>
      <c r="T1044" s="12"/>
      <c r="U1044" s="12"/>
      <c r="V1044" s="12"/>
      <c r="W1044" s="12"/>
      <c r="X1044" s="12"/>
      <c r="Y1044" s="12"/>
      <c r="Z1044" s="12"/>
      <c r="AA1044" s="12"/>
    </row>
    <row r="1045" spans="1:29" x14ac:dyDescent="0.2">
      <c r="A1045" s="1" t="s">
        <v>148</v>
      </c>
      <c r="B1045" s="103">
        <f>IF(AND('AES Indiana Bill Calc.'!$D$17="HL3",'AES Indiana Bill Calc.'!$D$18="Yes 100%",'AES Indiana Bill Calc.'!$D$20="Yes 2022"),'AES Indiana Bill Calc.'!$D$19,-1)</f>
        <v>-1</v>
      </c>
      <c r="C1045" s="103">
        <f>MAX(E1045,$C$769)</f>
        <v>2000</v>
      </c>
      <c r="D1045" s="103" t="b">
        <f>IF(AND('AES Indiana Bill Calc.'!$D$17="HL3",'AES Indiana Bill Calc.'!$D$18="Yes 100%",'AES Indiana Bill Calc.'!$D$20="Yes 2022"),'AES Indiana Bill Calc.'!$D$22)</f>
        <v>0</v>
      </c>
      <c r="E1045" s="103" t="b">
        <f>IF(AND('AES Indiana Bill Calc.'!$D$17="HL3",'AES Indiana Bill Calc.'!$D$18="Yes 100%",'AES Indiana Bill Calc.'!$D$20="Yes 2022"),'AES Indiana Bill Calc.'!$D$21)</f>
        <v>0</v>
      </c>
      <c r="F1045" s="36" t="s">
        <v>251</v>
      </c>
      <c r="G1045" s="92" t="e">
        <f>SUM(J1045:M1045,R1045:AA1045)</f>
        <v>#N/A</v>
      </c>
      <c r="H1045" s="19" t="e">
        <f>IF(ISBLANK(B1045),0,+#REF!/B1045)</f>
        <v>#REF!</v>
      </c>
      <c r="J1045" s="51">
        <f>IF(ISBLANK(B1045),0,+J$980)</f>
        <v>500</v>
      </c>
      <c r="K1045" s="17">
        <f>ROUND($B1045*K$980,2)</f>
        <v>-0.04</v>
      </c>
      <c r="L1045" s="17">
        <f>IF(ISBLANK($C1045),0,IF($C1045&lt;$C$981,ROUND($C$981*$L$980,2),IF($C1045&gt;L$981,ROUND(L$981*L$980,2),ROUND($C1045*L$980,2))))</f>
        <v>48180</v>
      </c>
      <c r="M1045" s="17">
        <f>IF($C1045&gt;L$981,ROUND(($C1045-L$981)*M$980,2),0)</f>
        <v>0</v>
      </c>
      <c r="N1045" s="17">
        <f>K1045</f>
        <v>-0.04</v>
      </c>
      <c r="O1045" s="17"/>
      <c r="P1045" s="17"/>
      <c r="Q1045" s="17">
        <f>SUM(L1045:M1045)</f>
        <v>48180</v>
      </c>
      <c r="R1045" s="16" t="e">
        <f>ROUND(SUM(K1045:M1045)*(R1044-1),2)</f>
        <v>#N/A</v>
      </c>
      <c r="S1045" s="17">
        <f>ROUND($B1045*S$980*S1044,2)</f>
        <v>0</v>
      </c>
      <c r="T1045" s="17">
        <f>ROUND($B1045*T$980,2)</f>
        <v>0</v>
      </c>
      <c r="U1045" s="17">
        <f>ROUND($B1045*U$980,2)</f>
        <v>0</v>
      </c>
      <c r="V1045" s="8">
        <f>ROUND($B1045*V$977,2)</f>
        <v>0</v>
      </c>
      <c r="W1045" s="17">
        <f>ROUND($B1045*W$980,2)</f>
        <v>0</v>
      </c>
      <c r="X1045" s="17">
        <f>ROUND($B1045*X$980,2)</f>
        <v>0</v>
      </c>
      <c r="Y1045" s="17">
        <f>ROUND($B1045*Y$980,2)</f>
        <v>0</v>
      </c>
      <c r="Z1045" s="17">
        <f>ROUND($B1045*Z$980,2)</f>
        <v>0</v>
      </c>
      <c r="AA1045" s="17">
        <f>ROUND($B1045*AA$980,2)</f>
        <v>0</v>
      </c>
      <c r="AB1045" s="19">
        <f>SUM(U$980:AA$980)+(-V$980+V1029)</f>
        <v>2.3699999999999997E-3</v>
      </c>
      <c r="AC1045" s="67" t="str">
        <f>+F1045</f>
        <v>HL31</v>
      </c>
    </row>
    <row r="1046" spans="1:29" x14ac:dyDescent="0.2">
      <c r="A1046" s="48"/>
      <c r="B1046" s="103">
        <v>-1</v>
      </c>
      <c r="D1046" s="8"/>
      <c r="E1046" s="9"/>
      <c r="F1046" s="36"/>
      <c r="G1046" s="12"/>
      <c r="H1046" s="12"/>
      <c r="J1046" s="12"/>
      <c r="K1046" s="12"/>
      <c r="L1046" s="12"/>
      <c r="M1046" s="12"/>
      <c r="N1046" s="12"/>
      <c r="O1046" s="12"/>
      <c r="P1046" s="12"/>
      <c r="Q1046" s="12"/>
      <c r="R1046" s="38" t="e">
        <f>VLOOKUP((D1047),'Pwr Factor'!$A$1:$B$52,2)</f>
        <v>#N/A</v>
      </c>
      <c r="S1046" s="50">
        <v>0.5</v>
      </c>
      <c r="T1046" s="12"/>
      <c r="U1046" s="12"/>
      <c r="V1046" s="12"/>
      <c r="W1046" s="12"/>
      <c r="X1046" s="12"/>
      <c r="Y1046" s="12"/>
      <c r="Z1046" s="12"/>
      <c r="AA1046" s="12"/>
    </row>
    <row r="1047" spans="1:29" x14ac:dyDescent="0.2">
      <c r="A1047" s="1" t="s">
        <v>149</v>
      </c>
      <c r="B1047" s="103">
        <f>IF(AND('AES Indiana Bill Calc.'!$D$17="HL3",'AES Indiana Bill Calc.'!$D$18="Yes 50%",'AES Indiana Bill Calc.'!$D$20="Yes 2022"),'AES Indiana Bill Calc.'!$D$19,-1)</f>
        <v>-1</v>
      </c>
      <c r="C1047" s="103">
        <f>MAX(E1047,$C$769)</f>
        <v>2000</v>
      </c>
      <c r="D1047" s="103" t="b">
        <f>IF(AND('AES Indiana Bill Calc.'!$D$17="HL3",'AES Indiana Bill Calc.'!$D$18="Yes 50%",'AES Indiana Bill Calc.'!$D$20="Yes 2022"),'AES Indiana Bill Calc.'!$D$22)</f>
        <v>0</v>
      </c>
      <c r="E1047" s="103" t="b">
        <f>IF(AND('AES Indiana Bill Calc.'!$D$17="HL3",'AES Indiana Bill Calc.'!$D$18="Yes 50%",'AES Indiana Bill Calc.'!$D$20="Yes 2022"),'AES Indiana Bill Calc.'!$D$21)</f>
        <v>0</v>
      </c>
      <c r="F1047" s="36" t="s">
        <v>251</v>
      </c>
      <c r="G1047" s="92" t="e">
        <f>SUM(J1047:M1047,R1047:AA1047)</f>
        <v>#N/A</v>
      </c>
      <c r="H1047" s="19" t="e">
        <f>IF(ISBLANK(B1047),0,+#REF!/B1047)</f>
        <v>#REF!</v>
      </c>
      <c r="J1047" s="51">
        <f>IF(ISBLANK(B1047),0,+J$980)</f>
        <v>500</v>
      </c>
      <c r="K1047" s="17">
        <f>ROUND($B1047*K$980,2)</f>
        <v>-0.04</v>
      </c>
      <c r="L1047" s="17">
        <f>IF(ISBLANK($C1047),0,IF($C1047&lt;$C$981,ROUND($C$981*$L$980,2),IF($C1047&gt;L$981,ROUND(L$981*L$980,2),ROUND($C1047*L$980,2))))</f>
        <v>48180</v>
      </c>
      <c r="M1047" s="17">
        <f>IF($C1047&gt;L$981,ROUND(($C1047-L$981)*M$980,2),0)</f>
        <v>0</v>
      </c>
      <c r="N1047" s="17">
        <f>K1047</f>
        <v>-0.04</v>
      </c>
      <c r="O1047" s="17"/>
      <c r="P1047" s="17"/>
      <c r="Q1047" s="17">
        <f>SUM(L1047:M1047)</f>
        <v>48180</v>
      </c>
      <c r="R1047" s="16" t="e">
        <f>ROUND(SUM(K1047:M1047)*(R1046-1),2)</f>
        <v>#N/A</v>
      </c>
      <c r="S1047" s="17">
        <f>ROUND($B1047*S$980*S1046,2)</f>
        <v>0</v>
      </c>
      <c r="T1047" s="17">
        <f>ROUND($B1047*T$980,2)</f>
        <v>0</v>
      </c>
      <c r="U1047" s="17">
        <f>ROUND($B1047*U$980,2)</f>
        <v>0</v>
      </c>
      <c r="V1047" s="8">
        <f>ROUND($B1047*V$977,2)</f>
        <v>0</v>
      </c>
      <c r="W1047" s="17">
        <f>ROUND($B1047*W$980,2)</f>
        <v>0</v>
      </c>
      <c r="X1047" s="17">
        <f>ROUND($B1047*X$980,2)</f>
        <v>0</v>
      </c>
      <c r="Y1047" s="17">
        <f>ROUND($B1047*Y$980,2)</f>
        <v>0</v>
      </c>
      <c r="Z1047" s="17">
        <f>ROUND($B1047*Z$980,2)</f>
        <v>0</v>
      </c>
      <c r="AA1047" s="17">
        <f>ROUND($B1047*AA$980,2)</f>
        <v>0</v>
      </c>
      <c r="AB1047" s="19">
        <f>SUM(U$980:AA$980)+(-V$980+V1031)</f>
        <v>2.3699999999999997E-3</v>
      </c>
      <c r="AC1047" s="67" t="str">
        <f>+F1047</f>
        <v>HL31</v>
      </c>
    </row>
    <row r="1048" spans="1:29" x14ac:dyDescent="0.2">
      <c r="A1048" s="9"/>
      <c r="B1048" s="103">
        <v>-1</v>
      </c>
      <c r="D1048" s="8"/>
      <c r="E1048" s="9"/>
      <c r="F1048" s="36"/>
      <c r="G1048" s="12"/>
      <c r="H1048" s="12"/>
      <c r="J1048" s="12"/>
      <c r="K1048" s="12"/>
      <c r="L1048" s="12"/>
      <c r="M1048" s="12"/>
      <c r="N1048" s="12"/>
      <c r="O1048" s="12"/>
      <c r="P1048" s="12"/>
      <c r="Q1048" s="12"/>
      <c r="R1048" s="38" t="e">
        <f>VLOOKUP((D1049),'Pwr Factor'!$A$1:$B$52,2)</f>
        <v>#N/A</v>
      </c>
      <c r="S1048" s="50">
        <v>0.25</v>
      </c>
      <c r="T1048" s="12"/>
      <c r="U1048" s="12"/>
      <c r="V1048" s="12"/>
      <c r="W1048" s="12"/>
      <c r="X1048" s="12"/>
      <c r="Y1048" s="12"/>
      <c r="Z1048" s="12"/>
      <c r="AA1048" s="12"/>
    </row>
    <row r="1049" spans="1:29" x14ac:dyDescent="0.2">
      <c r="A1049" s="1" t="s">
        <v>150</v>
      </c>
      <c r="B1049" s="103">
        <f>IF(AND('AES Indiana Bill Calc.'!$D$17="HL3",'AES Indiana Bill Calc.'!$D$18="Yes 25%",'AES Indiana Bill Calc.'!$D$20="Yes 2022"),'AES Indiana Bill Calc.'!$D$19,-1)</f>
        <v>-1</v>
      </c>
      <c r="C1049" s="103">
        <f>MAX(E1049,$C$769)</f>
        <v>2000</v>
      </c>
      <c r="D1049" s="103" t="b">
        <f>IF(AND('AES Indiana Bill Calc.'!$D$17="HL3",'AES Indiana Bill Calc.'!$D$18="Yes 25%",'AES Indiana Bill Calc.'!$D$20="Yes 2022"),'AES Indiana Bill Calc.'!$D$22)</f>
        <v>0</v>
      </c>
      <c r="E1049" s="103" t="b">
        <f>IF(AND('AES Indiana Bill Calc.'!$D$17="HL3",'AES Indiana Bill Calc.'!$D$18="Yes 25%",'AES Indiana Bill Calc.'!$D$20="Yes 2022"),'AES Indiana Bill Calc.'!$D$21)</f>
        <v>0</v>
      </c>
      <c r="F1049" s="36" t="s">
        <v>251</v>
      </c>
      <c r="G1049" s="92" t="e">
        <f>SUM(J1049:M1049,R1049:AA1049)</f>
        <v>#N/A</v>
      </c>
      <c r="H1049" s="19" t="e">
        <f>IF(ISBLANK(B1049),0,+#REF!/B1049)</f>
        <v>#REF!</v>
      </c>
      <c r="J1049" s="51">
        <f>IF(ISBLANK(B1049),0,+J$980)</f>
        <v>500</v>
      </c>
      <c r="K1049" s="17">
        <f>ROUND($B1049*K$980,2)</f>
        <v>-0.04</v>
      </c>
      <c r="L1049" s="17">
        <f>IF(ISBLANK($C1049),0,IF($C1049&lt;$C$981,ROUND($C$981*$L$980,2),IF($C1049&gt;L$981,ROUND(L$981*L$980,2),ROUND($C1049*L$980,2))))</f>
        <v>48180</v>
      </c>
      <c r="M1049" s="17">
        <f>IF($C1049&gt;L$981,ROUND(($C1049-L$981)*M$980,2),0)</f>
        <v>0</v>
      </c>
      <c r="N1049" s="17">
        <f>K1049</f>
        <v>-0.04</v>
      </c>
      <c r="O1049" s="17"/>
      <c r="P1049" s="17"/>
      <c r="Q1049" s="17">
        <f>SUM(L1049:M1049)</f>
        <v>48180</v>
      </c>
      <c r="R1049" s="16" t="e">
        <f>ROUND(SUM(K1049:M1049)*(R1048-1),2)</f>
        <v>#N/A</v>
      </c>
      <c r="S1049" s="17">
        <f>ROUND($B1049*S$980*S1048,2)</f>
        <v>0</v>
      </c>
      <c r="T1049" s="17">
        <f>ROUND($B1049*T$980,2)</f>
        <v>0</v>
      </c>
      <c r="U1049" s="17">
        <f>ROUND($B1049*U$980,2)</f>
        <v>0</v>
      </c>
      <c r="V1049" s="8">
        <f>ROUND($B1049*V$977,2)</f>
        <v>0</v>
      </c>
      <c r="W1049" s="17">
        <f>ROUND($B1049*W$980,2)</f>
        <v>0</v>
      </c>
      <c r="X1049" s="17">
        <f>ROUND($B1049*X$980,2)</f>
        <v>0</v>
      </c>
      <c r="Y1049" s="17">
        <f>ROUND($B1049*Y$980,2)</f>
        <v>0</v>
      </c>
      <c r="Z1049" s="17">
        <f>ROUND($B1049*Z$980,2)</f>
        <v>0</v>
      </c>
      <c r="AA1049" s="17">
        <f>ROUND($B1049*AA$980,2)</f>
        <v>0</v>
      </c>
      <c r="AB1049" s="19">
        <f>SUM(U$980:AA$980)+(-V$980+V1033)</f>
        <v>2.3699999999999997E-3</v>
      </c>
      <c r="AC1049" s="67" t="str">
        <f>+F1049</f>
        <v>HL31</v>
      </c>
    </row>
    <row r="1050" spans="1:29" x14ac:dyDescent="0.2">
      <c r="A1050" s="9"/>
      <c r="B1050" s="103">
        <v>-1</v>
      </c>
      <c r="D1050" s="8"/>
      <c r="E1050" s="9"/>
      <c r="F1050" s="36"/>
      <c r="G1050" s="12"/>
      <c r="H1050" s="12"/>
      <c r="J1050" s="12"/>
      <c r="K1050" s="12"/>
      <c r="L1050" s="12"/>
      <c r="M1050" s="12"/>
      <c r="N1050" s="12"/>
      <c r="O1050" s="12"/>
      <c r="P1050" s="12"/>
      <c r="Q1050" s="12"/>
      <c r="R1050" s="38" t="e">
        <f>VLOOKUP((D1051),'Pwr Factor'!$A$1:$B$52,2)</f>
        <v>#N/A</v>
      </c>
      <c r="S1050" s="50">
        <v>0.1</v>
      </c>
      <c r="T1050" s="12"/>
      <c r="U1050" s="12"/>
      <c r="V1050" s="12"/>
      <c r="W1050" s="12"/>
      <c r="X1050" s="12"/>
      <c r="Y1050" s="12"/>
      <c r="Z1050" s="12"/>
      <c r="AA1050" s="12"/>
    </row>
    <row r="1051" spans="1:29" x14ac:dyDescent="0.2">
      <c r="A1051" s="1" t="s">
        <v>164</v>
      </c>
      <c r="B1051" s="103">
        <f>IF(AND('AES Indiana Bill Calc.'!$D$17="HL3",'AES Indiana Bill Calc.'!$D$18="Yes 10%",'AES Indiana Bill Calc.'!$D$20="Yes 2022"),'AES Indiana Bill Calc.'!$D$19,-1)</f>
        <v>-1</v>
      </c>
      <c r="C1051" s="103">
        <f>MAX(E1051,$C$769)</f>
        <v>2000</v>
      </c>
      <c r="D1051" s="103" t="b">
        <f>IF(AND('AES Indiana Bill Calc.'!$D$17="HL3",'AES Indiana Bill Calc.'!$D$18="Yes 10%",'AES Indiana Bill Calc.'!$D$20="Yes 2022"),'AES Indiana Bill Calc.'!$D$22)</f>
        <v>0</v>
      </c>
      <c r="E1051" s="103" t="b">
        <f>IF(AND('AES Indiana Bill Calc.'!$D$17="HL3",'AES Indiana Bill Calc.'!$D$18="Yes 10%",'AES Indiana Bill Calc.'!$D$20="Yes 2022"),'AES Indiana Bill Calc.'!$D$21)</f>
        <v>0</v>
      </c>
      <c r="F1051" s="36" t="s">
        <v>251</v>
      </c>
      <c r="G1051" s="92" t="e">
        <f>SUM(J1051:M1051,R1051:AA1051)</f>
        <v>#N/A</v>
      </c>
      <c r="H1051" s="19" t="e">
        <f>IF(ISBLANK(B1051),0,+#REF!/B1051)</f>
        <v>#REF!</v>
      </c>
      <c r="J1051" s="51">
        <f>IF(ISBLANK(B1051),0,+J$980)</f>
        <v>500</v>
      </c>
      <c r="K1051" s="17">
        <f>ROUND($B1051*K$980,2)</f>
        <v>-0.04</v>
      </c>
      <c r="L1051" s="17">
        <f>IF(ISBLANK($C1051),0,IF($C1051&lt;$C$981,ROUND($C$981*$L$980,2),IF($C1051&gt;L$981,ROUND(L$981*L$980,2),ROUND($C1051*L$980,2))))</f>
        <v>48180</v>
      </c>
      <c r="M1051" s="17">
        <f>IF($C1051&gt;L$981,ROUND(($C1051-L$981)*M$980,2),0)</f>
        <v>0</v>
      </c>
      <c r="N1051" s="17">
        <f>K1051</f>
        <v>-0.04</v>
      </c>
      <c r="O1051" s="17"/>
      <c r="P1051" s="17"/>
      <c r="Q1051" s="17">
        <f>SUM(L1051:M1051)</f>
        <v>48180</v>
      </c>
      <c r="R1051" s="16" t="e">
        <f>ROUND(SUM(K1051:M1051)*(R1050-1),2)</f>
        <v>#N/A</v>
      </c>
      <c r="S1051" s="17">
        <f>ROUND($B1051*S$980*S1050,2)</f>
        <v>0</v>
      </c>
      <c r="T1051" s="17">
        <f>ROUND($B1051*T$980,2)</f>
        <v>0</v>
      </c>
      <c r="U1051" s="17">
        <f>ROUND($B1051*U$980,2)</f>
        <v>0</v>
      </c>
      <c r="V1051" s="8">
        <f>ROUND($B1051*V$977,2)</f>
        <v>0</v>
      </c>
      <c r="W1051" s="17">
        <f>ROUND($B1051*W$980,2)</f>
        <v>0</v>
      </c>
      <c r="X1051" s="17">
        <f>ROUND($B1051*X$980,2)</f>
        <v>0</v>
      </c>
      <c r="Y1051" s="17">
        <f>ROUND($B1051*Y$980,2)</f>
        <v>0</v>
      </c>
      <c r="Z1051" s="17">
        <f>ROUND($B1051*Z$980,2)</f>
        <v>0</v>
      </c>
      <c r="AA1051" s="17">
        <f>ROUND($B1051*AA$980,2)</f>
        <v>0</v>
      </c>
      <c r="AB1051" s="19">
        <f>SUM(U$980:AA$980)+(-V$980+V1035)</f>
        <v>2.3699999999999997E-3</v>
      </c>
      <c r="AC1051" s="67" t="str">
        <f>+F1051</f>
        <v>HL31</v>
      </c>
    </row>
    <row r="1052" spans="1:29" x14ac:dyDescent="0.2">
      <c r="A1052" s="9"/>
      <c r="B1052" s="103">
        <v>-1</v>
      </c>
      <c r="D1052" s="8"/>
      <c r="E1052" s="9"/>
      <c r="F1052" s="36"/>
      <c r="G1052" s="12"/>
      <c r="H1052" s="12"/>
      <c r="J1052" s="12"/>
      <c r="K1052" s="12"/>
      <c r="L1052" s="12"/>
      <c r="M1052" s="12"/>
      <c r="N1052" s="12"/>
      <c r="O1052" s="12"/>
      <c r="P1052" s="12"/>
      <c r="Q1052" s="12"/>
      <c r="R1052" s="38" t="e">
        <f>VLOOKUP((D1053),'Pwr Factor'!$A$1:$B$52,2)</f>
        <v>#N/A</v>
      </c>
      <c r="S1052" s="50">
        <v>0</v>
      </c>
      <c r="T1052" s="12"/>
      <c r="U1052" s="12"/>
      <c r="V1052" s="12"/>
      <c r="W1052" s="12"/>
      <c r="X1052" s="12"/>
      <c r="Y1052" s="12"/>
      <c r="Z1052" s="12"/>
      <c r="AA1052" s="12"/>
    </row>
    <row r="1053" spans="1:29" x14ac:dyDescent="0.2">
      <c r="A1053" s="1" t="s">
        <v>147</v>
      </c>
      <c r="B1053" s="103">
        <f>IF(AND('AES Indiana Bill Calc.'!$D$17="HL3",'AES Indiana Bill Calc.'!$D$18="No",'AES Indiana Bill Calc.'!$D$20="Yes 2022"),'AES Indiana Bill Calc.'!$D$19,-1)</f>
        <v>-1</v>
      </c>
      <c r="C1053" s="103">
        <f>MAX(E1053,$C$769)</f>
        <v>2000</v>
      </c>
      <c r="D1053" s="103" t="b">
        <f>IF(AND('AES Indiana Bill Calc.'!$D$17="HL3",'AES Indiana Bill Calc.'!$D$18="No",'AES Indiana Bill Calc.'!$D$20="Yes 2022"),'AES Indiana Bill Calc.'!$D$22)</f>
        <v>0</v>
      </c>
      <c r="E1053" s="103" t="b">
        <f>IF(AND('AES Indiana Bill Calc.'!$D$17="HL3",'AES Indiana Bill Calc.'!$D$18="No",'AES Indiana Bill Calc.'!$D$20="Yes 2022"),'AES Indiana Bill Calc.'!$D$21)</f>
        <v>0</v>
      </c>
      <c r="F1053" s="36" t="s">
        <v>251</v>
      </c>
      <c r="G1053" s="92" t="e">
        <f>SUM(J1053:M1053,R1053:AA1053)</f>
        <v>#N/A</v>
      </c>
      <c r="H1053" s="19" t="e">
        <f>IF(ISBLANK(B1053),0,+#REF!/B1053)</f>
        <v>#REF!</v>
      </c>
      <c r="J1053" s="51">
        <f>IF(ISBLANK(B1053),0,+J$980)</f>
        <v>500</v>
      </c>
      <c r="K1053" s="17">
        <f>ROUND($B1053*K$980,2)</f>
        <v>-0.04</v>
      </c>
      <c r="L1053" s="17">
        <f>IF(ISBLANK($C1053),0,IF($C1053&lt;$C$981,ROUND($C$981*$L$980,2),IF($C1053&gt;L$981,ROUND(L$981*L$980,2),ROUND($C1053*L$980,2))))</f>
        <v>48180</v>
      </c>
      <c r="M1053" s="17">
        <f>IF($C1053&gt;L$981,ROUND(($C1053-L$981)*M$980,2),0)</f>
        <v>0</v>
      </c>
      <c r="N1053" s="17">
        <f>K1053</f>
        <v>-0.04</v>
      </c>
      <c r="O1053" s="17"/>
      <c r="P1053" s="17"/>
      <c r="Q1053" s="17">
        <f>SUM(L1053:M1053)</f>
        <v>48180</v>
      </c>
      <c r="R1053" s="16" t="e">
        <f>ROUND(SUM(K1053:M1053)*(R1052-1),2)</f>
        <v>#N/A</v>
      </c>
      <c r="S1053" s="17">
        <f>ROUND($B1053*S$980*S1052,2)</f>
        <v>0</v>
      </c>
      <c r="T1053" s="17">
        <f>ROUND($B1053*T$980,2)</f>
        <v>0</v>
      </c>
      <c r="U1053" s="17">
        <f>ROUND($B1053*U$980,2)</f>
        <v>0</v>
      </c>
      <c r="V1053" s="8">
        <f>ROUND($B1053*V$977,2)</f>
        <v>0</v>
      </c>
      <c r="W1053" s="17">
        <f>ROUND($B1053*W$980,2)</f>
        <v>0</v>
      </c>
      <c r="X1053" s="17">
        <f>ROUND($B1053*X$980,2)</f>
        <v>0</v>
      </c>
      <c r="Y1053" s="17">
        <f>ROUND($B1053*Y$980,2)</f>
        <v>0</v>
      </c>
      <c r="Z1053" s="17">
        <f>ROUND($B1053*Z$980,2)</f>
        <v>0</v>
      </c>
      <c r="AA1053" s="17">
        <f>ROUND($B1053*AA$980,2)</f>
        <v>0</v>
      </c>
      <c r="AB1053" s="19">
        <f>SUM(U$980:AA$980)+(-V$980+V1037)</f>
        <v>2.3699999999999997E-3</v>
      </c>
      <c r="AC1053" s="67" t="str">
        <f>+F1053</f>
        <v>HL31</v>
      </c>
    </row>
    <row r="1054" spans="1:29" x14ac:dyDescent="0.2">
      <c r="A1054" s="48"/>
      <c r="B1054" s="103">
        <v>-1</v>
      </c>
      <c r="D1054" s="8"/>
      <c r="E1054" s="9"/>
      <c r="F1054" s="36"/>
      <c r="G1054" s="12"/>
      <c r="H1054" s="12"/>
      <c r="J1054" s="12"/>
      <c r="K1054" s="12"/>
      <c r="L1054" s="12"/>
      <c r="M1054" s="12"/>
      <c r="N1054" s="12"/>
      <c r="O1054" s="12"/>
      <c r="P1054" s="12"/>
      <c r="Q1054" s="12"/>
      <c r="R1054" s="38" t="e">
        <f>VLOOKUP((D1055),'Pwr Factor'!$A$1:$B$52,2)</f>
        <v>#N/A</v>
      </c>
      <c r="S1054" s="50">
        <v>1</v>
      </c>
      <c r="T1054" s="12"/>
      <c r="U1054" s="12"/>
      <c r="V1054" s="12"/>
      <c r="W1054" s="12"/>
      <c r="X1054" s="12"/>
      <c r="Y1054" s="12"/>
      <c r="Z1054" s="12"/>
      <c r="AA1054" s="12"/>
    </row>
    <row r="1055" spans="1:29" x14ac:dyDescent="0.2">
      <c r="A1055" s="1" t="s">
        <v>148</v>
      </c>
      <c r="B1055" s="103">
        <f>IF(AND('AES Indiana Bill Calc.'!$D$17="HL3",'AES Indiana Bill Calc.'!$D$18="Yes 100%",'AES Indiana Bill Calc.'!$D$20="Yes 2022"),'AES Indiana Bill Calc.'!$D$19,-1)</f>
        <v>-1</v>
      </c>
      <c r="C1055" s="103">
        <f>MAX(E1055,$C$769)</f>
        <v>2000</v>
      </c>
      <c r="D1055" s="103" t="b">
        <f>IF(AND('AES Indiana Bill Calc.'!$D$17="HL3",'AES Indiana Bill Calc.'!$D$18="Yes 100%",'AES Indiana Bill Calc.'!$D$20="Yes 2022"),'AES Indiana Bill Calc.'!$D$22)</f>
        <v>0</v>
      </c>
      <c r="E1055" s="103" t="b">
        <f>IF(AND('AES Indiana Bill Calc.'!$D$17="HL3",'AES Indiana Bill Calc.'!$D$18="Yes 100%",'AES Indiana Bill Calc.'!$D$20="Yes 2022"),'AES Indiana Bill Calc.'!$D$21)</f>
        <v>0</v>
      </c>
      <c r="F1055" s="36" t="s">
        <v>252</v>
      </c>
      <c r="G1055" s="92" t="e">
        <f>SUM(J1055:M1055,R1055:AA1055)</f>
        <v>#N/A</v>
      </c>
      <c r="H1055" s="19" t="e">
        <f>IF(ISBLANK(B1055),0,+#REF!/B1055)</f>
        <v>#REF!</v>
      </c>
      <c r="J1055" s="51">
        <f>IF(ISBLANK(B1055),0,+J$980)</f>
        <v>500</v>
      </c>
      <c r="K1055" s="17">
        <f>ROUND($B1055*K$980,2)</f>
        <v>-0.04</v>
      </c>
      <c r="L1055" s="17">
        <f>IF(ISBLANK($C1055),0,IF($C1055&lt;$C$981,ROUND($C$981*$L$980,2),IF($C1055&gt;L$981,ROUND(L$981*L$980,2),ROUND($C1055*L$980,2))))</f>
        <v>48180</v>
      </c>
      <c r="M1055" s="17">
        <f>IF($C1055&gt;L$981,ROUND(($C1055-L$981)*M$980,2),0)</f>
        <v>0</v>
      </c>
      <c r="N1055" s="17">
        <f>K1055</f>
        <v>-0.04</v>
      </c>
      <c r="O1055" s="17"/>
      <c r="P1055" s="17"/>
      <c r="Q1055" s="17">
        <f>SUM(L1055:M1055)</f>
        <v>48180</v>
      </c>
      <c r="R1055" s="16" t="e">
        <f>ROUND(SUM(K1055:M1055)*(R1054-1),2)</f>
        <v>#N/A</v>
      </c>
      <c r="S1055" s="17">
        <f>ROUND($B1055*S$980*S1054,2)</f>
        <v>0</v>
      </c>
      <c r="T1055" s="17">
        <f>ROUND($B1055*T$980,2)</f>
        <v>0</v>
      </c>
      <c r="U1055" s="17">
        <f>ROUND($B1055*U$980,2)</f>
        <v>0</v>
      </c>
      <c r="V1055" s="8">
        <f>ROUND($B1055*V$977,2)</f>
        <v>0</v>
      </c>
      <c r="W1055" s="17">
        <f>ROUND($B1055*W$980,2)</f>
        <v>0</v>
      </c>
      <c r="X1055" s="17">
        <f>ROUND($B1055*X$980,2)</f>
        <v>0</v>
      </c>
      <c r="Y1055" s="17">
        <f>ROUND($B1055*Y$980,2)</f>
        <v>0</v>
      </c>
      <c r="Z1055" s="17">
        <f>ROUND($B1055*Z$980,2)</f>
        <v>0</v>
      </c>
      <c r="AA1055" s="17">
        <f>ROUND($B1055*AA$980,2)</f>
        <v>0</v>
      </c>
      <c r="AB1055" s="19">
        <f>SUM(U$980:AA$980)+(-V$980+V1039)</f>
        <v>2.3699999999999997E-3</v>
      </c>
      <c r="AC1055" s="67" t="str">
        <f>+F1055</f>
        <v>HL32</v>
      </c>
    </row>
    <row r="1056" spans="1:29" x14ac:dyDescent="0.2">
      <c r="A1056" s="48"/>
      <c r="B1056" s="103">
        <v>-1</v>
      </c>
      <c r="D1056" s="8"/>
      <c r="E1056" s="9"/>
      <c r="F1056" s="36"/>
      <c r="G1056" s="12"/>
      <c r="H1056" s="12"/>
      <c r="J1056" s="12"/>
      <c r="K1056" s="12"/>
      <c r="L1056" s="12"/>
      <c r="M1056" s="12"/>
      <c r="N1056" s="12"/>
      <c r="O1056" s="12"/>
      <c r="P1056" s="12"/>
      <c r="Q1056" s="12"/>
      <c r="R1056" s="38" t="e">
        <f>VLOOKUP((D1057),'Pwr Factor'!$A$1:$B$52,2)</f>
        <v>#N/A</v>
      </c>
      <c r="S1056" s="50">
        <v>0.5</v>
      </c>
      <c r="T1056" s="12"/>
      <c r="U1056" s="12"/>
      <c r="V1056" s="12"/>
      <c r="W1056" s="12"/>
      <c r="X1056" s="12"/>
      <c r="Y1056" s="12"/>
      <c r="Z1056" s="12"/>
      <c r="AA1056" s="12"/>
    </row>
    <row r="1057" spans="1:29" x14ac:dyDescent="0.2">
      <c r="A1057" s="1" t="s">
        <v>149</v>
      </c>
      <c r="B1057" s="103">
        <f>IF(AND('AES Indiana Bill Calc.'!$D$17="HL3",'AES Indiana Bill Calc.'!$D$18="Yes 50%",'AES Indiana Bill Calc.'!$D$20="Yes 2022"),'AES Indiana Bill Calc.'!$D$19,-1)</f>
        <v>-1</v>
      </c>
      <c r="C1057" s="103">
        <f>MAX(E1057,$C$769)</f>
        <v>2000</v>
      </c>
      <c r="D1057" s="103" t="b">
        <f>IF(AND('AES Indiana Bill Calc.'!$D$17="HL3",'AES Indiana Bill Calc.'!$D$18="Yes 50%",'AES Indiana Bill Calc.'!$D$20="Yes 2022"),'AES Indiana Bill Calc.'!$D$22)</f>
        <v>0</v>
      </c>
      <c r="E1057" s="103" t="b">
        <f>IF(AND('AES Indiana Bill Calc.'!$D$17="HL3",'AES Indiana Bill Calc.'!$D$18="Yes 50%",'AES Indiana Bill Calc.'!$D$20="Yes 2022"),'AES Indiana Bill Calc.'!$D$21)</f>
        <v>0</v>
      </c>
      <c r="F1057" s="36" t="s">
        <v>252</v>
      </c>
      <c r="G1057" s="92" t="e">
        <f>SUM(J1057:M1057,R1057:AA1057)</f>
        <v>#N/A</v>
      </c>
      <c r="H1057" s="19" t="e">
        <f>IF(ISBLANK(B1057),0,+#REF!/B1057)</f>
        <v>#REF!</v>
      </c>
      <c r="J1057" s="51">
        <f>IF(ISBLANK(B1057),0,+J$980)</f>
        <v>500</v>
      </c>
      <c r="K1057" s="17">
        <f>ROUND($B1057*K$980,2)</f>
        <v>-0.04</v>
      </c>
      <c r="L1057" s="17">
        <f>IF(ISBLANK($C1057),0,IF($C1057&lt;$C$981,ROUND($C$981*$L$980,2),IF($C1057&gt;L$981,ROUND(L$981*L$980,2),ROUND($C1057*L$980,2))))</f>
        <v>48180</v>
      </c>
      <c r="M1057" s="17">
        <f>IF($C1057&gt;L$981,ROUND(($C1057-L$981)*M$980,2),0)</f>
        <v>0</v>
      </c>
      <c r="N1057" s="17">
        <f>K1057</f>
        <v>-0.04</v>
      </c>
      <c r="O1057" s="17"/>
      <c r="P1057" s="17"/>
      <c r="Q1057" s="17">
        <f>SUM(L1057:M1057)</f>
        <v>48180</v>
      </c>
      <c r="R1057" s="16" t="e">
        <f>ROUND(SUM(K1057:M1057)*(R1056-1),2)</f>
        <v>#N/A</v>
      </c>
      <c r="S1057" s="17">
        <f>ROUND($B1057*S$980*S1056,2)</f>
        <v>0</v>
      </c>
      <c r="T1057" s="17">
        <f>ROUND($B1057*T$980,2)</f>
        <v>0</v>
      </c>
      <c r="U1057" s="17">
        <f>ROUND($B1057*U$980,2)</f>
        <v>0</v>
      </c>
      <c r="V1057" s="8">
        <f>ROUND($B1057*V$977,2)</f>
        <v>0</v>
      </c>
      <c r="W1057" s="17">
        <f>ROUND($B1057*W$980,2)</f>
        <v>0</v>
      </c>
      <c r="X1057" s="17">
        <f>ROUND($B1057*X$980,2)</f>
        <v>0</v>
      </c>
      <c r="Y1057" s="17">
        <f>ROUND($B1057*Y$980,2)</f>
        <v>0</v>
      </c>
      <c r="Z1057" s="17">
        <f>ROUND($B1057*Z$980,2)</f>
        <v>0</v>
      </c>
      <c r="AA1057" s="17">
        <f>ROUND($B1057*AA$980,2)</f>
        <v>0</v>
      </c>
      <c r="AB1057" s="19">
        <f>SUM(U$980:AA$980)+(-V$980+V1041)</f>
        <v>2.3699999999999997E-3</v>
      </c>
      <c r="AC1057" s="67" t="str">
        <f>+F1057</f>
        <v>HL32</v>
      </c>
    </row>
    <row r="1058" spans="1:29" x14ac:dyDescent="0.2">
      <c r="A1058" s="9"/>
      <c r="B1058" s="103">
        <v>-1</v>
      </c>
      <c r="D1058" s="8"/>
      <c r="E1058" s="9"/>
      <c r="F1058" s="36"/>
      <c r="G1058" s="12"/>
      <c r="H1058" s="12"/>
      <c r="J1058" s="12"/>
      <c r="K1058" s="12"/>
      <c r="L1058" s="12"/>
      <c r="M1058" s="12"/>
      <c r="N1058" s="12"/>
      <c r="O1058" s="12"/>
      <c r="P1058" s="12"/>
      <c r="Q1058" s="12"/>
      <c r="R1058" s="38" t="e">
        <f>VLOOKUP((D1059),'Pwr Factor'!$A$1:$B$52,2)</f>
        <v>#N/A</v>
      </c>
      <c r="S1058" s="50">
        <v>0.25</v>
      </c>
      <c r="T1058" s="12"/>
      <c r="U1058" s="12"/>
      <c r="V1058" s="12"/>
      <c r="W1058" s="12"/>
      <c r="X1058" s="12"/>
      <c r="Y1058" s="12"/>
      <c r="Z1058" s="12"/>
      <c r="AA1058" s="12"/>
    </row>
    <row r="1059" spans="1:29" x14ac:dyDescent="0.2">
      <c r="A1059" s="1" t="s">
        <v>150</v>
      </c>
      <c r="B1059" s="103">
        <f>IF(AND('AES Indiana Bill Calc.'!$D$17="HL3",'AES Indiana Bill Calc.'!$D$18="Yes 25%",'AES Indiana Bill Calc.'!$D$20="Yes 2022"),'AES Indiana Bill Calc.'!$D$19,-1)</f>
        <v>-1</v>
      </c>
      <c r="C1059" s="103">
        <f>MAX(E1059,$C$769)</f>
        <v>2000</v>
      </c>
      <c r="D1059" s="103" t="b">
        <f>IF(AND('AES Indiana Bill Calc.'!$D$17="HL3",'AES Indiana Bill Calc.'!$D$18="Yes 25%",'AES Indiana Bill Calc.'!$D$20="Yes 2022"),'AES Indiana Bill Calc.'!$D$22)</f>
        <v>0</v>
      </c>
      <c r="E1059" s="103" t="b">
        <f>IF(AND('AES Indiana Bill Calc.'!$D$17="HL3",'AES Indiana Bill Calc.'!$D$18="Yes 25%",'AES Indiana Bill Calc.'!$D$20="Yes 2022"),'AES Indiana Bill Calc.'!$D$21)</f>
        <v>0</v>
      </c>
      <c r="F1059" s="36" t="s">
        <v>252</v>
      </c>
      <c r="G1059" s="92" t="e">
        <f>SUM(J1059:M1059,R1059:AA1059)</f>
        <v>#N/A</v>
      </c>
      <c r="H1059" s="19" t="e">
        <f>IF(ISBLANK(B1059),0,+#REF!/B1059)</f>
        <v>#REF!</v>
      </c>
      <c r="J1059" s="51">
        <f>IF(ISBLANK(B1059),0,+J$980)</f>
        <v>500</v>
      </c>
      <c r="K1059" s="17">
        <f>ROUND($B1059*K$980,2)</f>
        <v>-0.04</v>
      </c>
      <c r="L1059" s="17">
        <f>IF(ISBLANK($C1059),0,IF($C1059&lt;$C$981,ROUND($C$981*$L$980,2),IF($C1059&gt;L$981,ROUND(L$981*L$980,2),ROUND($C1059*L$980,2))))</f>
        <v>48180</v>
      </c>
      <c r="M1059" s="17">
        <f>IF($C1059&gt;L$981,ROUND(($C1059-L$981)*M$980,2),0)</f>
        <v>0</v>
      </c>
      <c r="N1059" s="17">
        <f>K1059</f>
        <v>-0.04</v>
      </c>
      <c r="O1059" s="17"/>
      <c r="P1059" s="17"/>
      <c r="Q1059" s="17">
        <f>SUM(L1059:M1059)</f>
        <v>48180</v>
      </c>
      <c r="R1059" s="16" t="e">
        <f>ROUND(SUM(K1059:M1059)*(R1058-1),2)</f>
        <v>#N/A</v>
      </c>
      <c r="S1059" s="17">
        <f>ROUND($B1059*S$980*S1058,2)</f>
        <v>0</v>
      </c>
      <c r="T1059" s="17">
        <f>ROUND($B1059*T$980,2)</f>
        <v>0</v>
      </c>
      <c r="U1059" s="17">
        <f>ROUND($B1059*U$980,2)</f>
        <v>0</v>
      </c>
      <c r="V1059" s="8">
        <f>ROUND($B1059*V$977,2)</f>
        <v>0</v>
      </c>
      <c r="W1059" s="17">
        <f>ROUND($B1059*W$980,2)</f>
        <v>0</v>
      </c>
      <c r="X1059" s="17">
        <f>ROUND($B1059*X$980,2)</f>
        <v>0</v>
      </c>
      <c r="Y1059" s="17">
        <f>ROUND($B1059*Y$980,2)</f>
        <v>0</v>
      </c>
      <c r="Z1059" s="17">
        <f>ROUND($B1059*Z$980,2)</f>
        <v>0</v>
      </c>
      <c r="AA1059" s="17">
        <f>ROUND($B1059*AA$980,2)</f>
        <v>0</v>
      </c>
      <c r="AB1059" s="19">
        <f>SUM(U$980:AA$980)+(-V$980+V1043)</f>
        <v>2.3699999999999997E-3</v>
      </c>
      <c r="AC1059" s="67" t="str">
        <f>+F1059</f>
        <v>HL32</v>
      </c>
    </row>
    <row r="1060" spans="1:29" x14ac:dyDescent="0.2">
      <c r="A1060" s="9"/>
      <c r="B1060" s="103">
        <v>-1</v>
      </c>
      <c r="D1060" s="8"/>
      <c r="E1060" s="9"/>
      <c r="F1060" s="36"/>
      <c r="G1060" s="12"/>
      <c r="H1060" s="12"/>
      <c r="J1060" s="12"/>
      <c r="K1060" s="12"/>
      <c r="L1060" s="12"/>
      <c r="M1060" s="12"/>
      <c r="N1060" s="12"/>
      <c r="O1060" s="12"/>
      <c r="P1060" s="12"/>
      <c r="Q1060" s="12"/>
      <c r="R1060" s="38" t="e">
        <f>VLOOKUP((D1061),'Pwr Factor'!$A$1:$B$52,2)</f>
        <v>#N/A</v>
      </c>
      <c r="S1060" s="50">
        <v>0.1</v>
      </c>
      <c r="T1060" s="12"/>
      <c r="U1060" s="12"/>
      <c r="V1060" s="12"/>
      <c r="W1060" s="12"/>
      <c r="X1060" s="12"/>
      <c r="Y1060" s="12"/>
      <c r="Z1060" s="12"/>
      <c r="AA1060" s="12"/>
    </row>
    <row r="1061" spans="1:29" x14ac:dyDescent="0.2">
      <c r="A1061" s="1" t="s">
        <v>164</v>
      </c>
      <c r="B1061" s="103">
        <f>IF(AND('AES Indiana Bill Calc.'!$D$17="HL3",'AES Indiana Bill Calc.'!$D$18="Yes 10%",'AES Indiana Bill Calc.'!$D$20="Yes 2022"),'AES Indiana Bill Calc.'!$D$19,-1)</f>
        <v>-1</v>
      </c>
      <c r="C1061" s="103">
        <f>MAX(E1061,$C$769)</f>
        <v>2000</v>
      </c>
      <c r="D1061" s="103" t="b">
        <f>IF(AND('AES Indiana Bill Calc.'!$D$17="HL3",'AES Indiana Bill Calc.'!$D$18="Yes 10%",'AES Indiana Bill Calc.'!$D$20="Yes 2022"),'AES Indiana Bill Calc.'!$D$22)</f>
        <v>0</v>
      </c>
      <c r="E1061" s="103" t="b">
        <f>IF(AND('AES Indiana Bill Calc.'!$D$17="HL3",'AES Indiana Bill Calc.'!$D$18="Yes 10%",'AES Indiana Bill Calc.'!$D$20="Yes 2022"),'AES Indiana Bill Calc.'!$D$21)</f>
        <v>0</v>
      </c>
      <c r="F1061" s="36" t="s">
        <v>252</v>
      </c>
      <c r="G1061" s="92" t="e">
        <f>SUM(J1061:M1061,R1061:AA1061)</f>
        <v>#N/A</v>
      </c>
      <c r="H1061" s="19" t="e">
        <f>IF(ISBLANK(B1061),0,+#REF!/B1061)</f>
        <v>#REF!</v>
      </c>
      <c r="J1061" s="51">
        <f>IF(ISBLANK(B1061),0,+J$980)</f>
        <v>500</v>
      </c>
      <c r="K1061" s="17">
        <f>ROUND($B1061*K$980,2)</f>
        <v>-0.04</v>
      </c>
      <c r="L1061" s="17">
        <f>IF(ISBLANK($C1061),0,IF($C1061&lt;$C$981,ROUND($C$981*$L$980,2),IF($C1061&gt;L$981,ROUND(L$981*L$980,2),ROUND($C1061*L$980,2))))</f>
        <v>48180</v>
      </c>
      <c r="M1061" s="17">
        <f>IF($C1061&gt;L$981,ROUND(($C1061-L$981)*M$980,2),0)</f>
        <v>0</v>
      </c>
      <c r="N1061" s="17">
        <f>K1061</f>
        <v>-0.04</v>
      </c>
      <c r="O1061" s="17"/>
      <c r="P1061" s="17"/>
      <c r="Q1061" s="17">
        <f>SUM(L1061:M1061)</f>
        <v>48180</v>
      </c>
      <c r="R1061" s="16" t="e">
        <f>ROUND(SUM(K1061:M1061)*(R1060-1),2)</f>
        <v>#N/A</v>
      </c>
      <c r="S1061" s="17">
        <f>ROUND($B1061*S$980*S1060,2)</f>
        <v>0</v>
      </c>
      <c r="T1061" s="17">
        <f>ROUND($B1061*T$980,2)</f>
        <v>0</v>
      </c>
      <c r="U1061" s="17">
        <f>ROUND($B1061*U$980,2)</f>
        <v>0</v>
      </c>
      <c r="V1061" s="8">
        <f>ROUND($B1061*V$977,2)</f>
        <v>0</v>
      </c>
      <c r="W1061" s="17">
        <f>ROUND($B1061*W$980,2)</f>
        <v>0</v>
      </c>
      <c r="X1061" s="17">
        <f>ROUND($B1061*X$980,2)</f>
        <v>0</v>
      </c>
      <c r="Y1061" s="17">
        <f>ROUND($B1061*Y$980,2)</f>
        <v>0</v>
      </c>
      <c r="Z1061" s="17">
        <f>ROUND($B1061*Z$980,2)</f>
        <v>0</v>
      </c>
      <c r="AA1061" s="17">
        <f>ROUND($B1061*AA$980,2)</f>
        <v>0</v>
      </c>
      <c r="AB1061" s="19">
        <f>SUM(U$980:AA$980)+(-V$980+V1045)</f>
        <v>2.3699999999999997E-3</v>
      </c>
      <c r="AC1061" s="67" t="str">
        <f>+F1061</f>
        <v>HL32</v>
      </c>
    </row>
    <row r="1062" spans="1:29" x14ac:dyDescent="0.2">
      <c r="A1062" s="9"/>
      <c r="B1062" s="103">
        <v>-1</v>
      </c>
      <c r="D1062" s="8"/>
      <c r="E1062" s="9"/>
      <c r="F1062" s="36"/>
      <c r="G1062" s="12"/>
      <c r="H1062" s="12"/>
      <c r="J1062" s="12"/>
      <c r="K1062" s="12"/>
      <c r="L1062" s="12"/>
      <c r="M1062" s="12"/>
      <c r="N1062" s="12"/>
      <c r="O1062" s="12"/>
      <c r="P1062" s="12"/>
      <c r="Q1062" s="12"/>
      <c r="R1062" s="38" t="e">
        <f>VLOOKUP((D1063),'Pwr Factor'!$A$1:$B$52,2)</f>
        <v>#N/A</v>
      </c>
      <c r="S1062" s="50">
        <v>0</v>
      </c>
      <c r="T1062" s="12"/>
      <c r="U1062" s="12"/>
      <c r="V1062" s="12"/>
      <c r="W1062" s="12"/>
      <c r="X1062" s="12"/>
      <c r="Y1062" s="12"/>
      <c r="Z1062" s="12"/>
      <c r="AA1062" s="12"/>
    </row>
    <row r="1063" spans="1:29" x14ac:dyDescent="0.2">
      <c r="A1063" s="1" t="s">
        <v>147</v>
      </c>
      <c r="B1063" s="103">
        <f>IF(AND('AES Indiana Bill Calc.'!$D$17="HL3",'AES Indiana Bill Calc.'!$D$18="No",'AES Indiana Bill Calc.'!$D$20="Yes 2022"),'AES Indiana Bill Calc.'!$D$19,-1)</f>
        <v>-1</v>
      </c>
      <c r="C1063" s="103">
        <f>MAX(E1063,$C$769)</f>
        <v>2000</v>
      </c>
      <c r="D1063" s="103" t="b">
        <f>IF(AND('AES Indiana Bill Calc.'!$D$17="HL3",'AES Indiana Bill Calc.'!$D$18="No",'AES Indiana Bill Calc.'!$D$20="Yes 2022"),'AES Indiana Bill Calc.'!$D$22)</f>
        <v>0</v>
      </c>
      <c r="E1063" s="103" t="b">
        <f>IF(AND('AES Indiana Bill Calc.'!$D$17="HL3",'AES Indiana Bill Calc.'!$D$18="No",'AES Indiana Bill Calc.'!$D$20="Yes 2022"),'AES Indiana Bill Calc.'!$D$21)</f>
        <v>0</v>
      </c>
      <c r="F1063" s="36" t="s">
        <v>252</v>
      </c>
      <c r="G1063" s="92" t="e">
        <f>SUM(J1063:M1063,R1063:AA1063)</f>
        <v>#N/A</v>
      </c>
      <c r="H1063" s="19" t="e">
        <f>IF(ISBLANK(B1063),0,+#REF!/B1063)</f>
        <v>#REF!</v>
      </c>
      <c r="J1063" s="51">
        <f>IF(ISBLANK(B1063),0,+J$980)</f>
        <v>500</v>
      </c>
      <c r="K1063" s="17">
        <f>ROUND($B1063*K$980,2)</f>
        <v>-0.04</v>
      </c>
      <c r="L1063" s="17">
        <f>IF(ISBLANK($C1063),0,IF($C1063&lt;$C$981,ROUND($C$981*$L$980,2),IF($C1063&gt;L$981,ROUND(L$981*L$980,2),ROUND($C1063*L$980,2))))</f>
        <v>48180</v>
      </c>
      <c r="M1063" s="17">
        <f>IF($C1063&gt;L$981,ROUND(($C1063-L$981)*M$980,2),0)</f>
        <v>0</v>
      </c>
      <c r="N1063" s="17">
        <f>K1063</f>
        <v>-0.04</v>
      </c>
      <c r="O1063" s="17"/>
      <c r="P1063" s="17"/>
      <c r="Q1063" s="17">
        <f>SUM(L1063:M1063)</f>
        <v>48180</v>
      </c>
      <c r="R1063" s="16" t="e">
        <f>ROUND(SUM(K1063:M1063)*(R1062-1),2)</f>
        <v>#N/A</v>
      </c>
      <c r="S1063" s="17">
        <f>ROUND($B1063*S$980*S1062,2)</f>
        <v>0</v>
      </c>
      <c r="T1063" s="17">
        <f>ROUND($B1063*T$980,2)</f>
        <v>0</v>
      </c>
      <c r="U1063" s="17">
        <f>ROUND($B1063*U$980,2)</f>
        <v>0</v>
      </c>
      <c r="V1063" s="8">
        <f>ROUND($B1063*V$977,2)</f>
        <v>0</v>
      </c>
      <c r="W1063" s="17">
        <f>ROUND($B1063*W$980,2)</f>
        <v>0</v>
      </c>
      <c r="X1063" s="17">
        <f>ROUND($B1063*X$980,2)</f>
        <v>0</v>
      </c>
      <c r="Y1063" s="17">
        <f>ROUND($B1063*Y$980,2)</f>
        <v>0</v>
      </c>
      <c r="Z1063" s="17">
        <f>ROUND($B1063*Z$980,2)</f>
        <v>0</v>
      </c>
      <c r="AA1063" s="17">
        <f>ROUND($B1063*AA$980,2)</f>
        <v>0</v>
      </c>
      <c r="AB1063" s="19">
        <f>SUM(U$980:AA$980)+(-V$980+V1047)</f>
        <v>2.3699999999999997E-3</v>
      </c>
      <c r="AC1063" s="67" t="str">
        <f>+F1063</f>
        <v>HL32</v>
      </c>
    </row>
    <row r="1064" spans="1:29" x14ac:dyDescent="0.2">
      <c r="A1064" s="48"/>
      <c r="B1064" s="103">
        <v>-1</v>
      </c>
      <c r="D1064" s="8"/>
      <c r="E1064" s="9"/>
      <c r="F1064" s="36"/>
      <c r="G1064" s="12"/>
      <c r="H1064" s="12"/>
      <c r="J1064" s="12"/>
      <c r="K1064" s="12"/>
      <c r="L1064" s="12"/>
      <c r="M1064" s="12"/>
      <c r="N1064" s="12"/>
      <c r="O1064" s="12"/>
      <c r="P1064" s="12"/>
      <c r="Q1064" s="12"/>
      <c r="R1064" s="38" t="e">
        <f>VLOOKUP((D1065),'Pwr Factor'!$A$1:$B$52,2)</f>
        <v>#N/A</v>
      </c>
      <c r="S1064" s="50">
        <v>1</v>
      </c>
      <c r="T1064" s="12"/>
      <c r="U1064" s="12"/>
      <c r="V1064" s="12"/>
      <c r="W1064" s="12"/>
      <c r="X1064" s="12"/>
      <c r="Y1064" s="12"/>
      <c r="Z1064" s="12"/>
      <c r="AA1064" s="12"/>
    </row>
    <row r="1065" spans="1:29" x14ac:dyDescent="0.2">
      <c r="A1065" s="1" t="s">
        <v>148</v>
      </c>
      <c r="B1065" s="103">
        <f>IF(AND('AES Indiana Bill Calc.'!$D$17="HL3",'AES Indiana Bill Calc.'!$D$18="Yes 100%",'AES Indiana Bill Calc.'!$D$20="Yes 2023"),'AES Indiana Bill Calc.'!$D$19,-1)</f>
        <v>-1</v>
      </c>
      <c r="C1065" s="103">
        <f>MAX(E1065,$C$769)</f>
        <v>2000</v>
      </c>
      <c r="D1065" s="103" t="b">
        <f>IF(AND('AES Indiana Bill Calc.'!$D$17="HL3",'AES Indiana Bill Calc.'!$D$18="Yes 100%",'AES Indiana Bill Calc.'!$D$20="Yes 2023"),'AES Indiana Bill Calc.'!$D$22)</f>
        <v>0</v>
      </c>
      <c r="E1065" s="103" t="b">
        <f>IF(AND('AES Indiana Bill Calc.'!$D$17="HL3",'AES Indiana Bill Calc.'!$D$18="Yes 100%",'AES Indiana Bill Calc.'!$D$20="Yes 2023"),'AES Indiana Bill Calc.'!$D$21)</f>
        <v>0</v>
      </c>
      <c r="F1065" s="36" t="s">
        <v>253</v>
      </c>
      <c r="G1065" s="92" t="e">
        <f>SUM(J1065:M1065,R1065:AA1065)</f>
        <v>#N/A</v>
      </c>
      <c r="H1065" s="19" t="e">
        <f>IF(ISBLANK(B1065),0,+#REF!/B1065)</f>
        <v>#REF!</v>
      </c>
      <c r="J1065" s="51">
        <f>IF(ISBLANK(B1065),0,+J$980)</f>
        <v>500</v>
      </c>
      <c r="K1065" s="17">
        <f>ROUND($B1065*K$980,2)</f>
        <v>-0.04</v>
      </c>
      <c r="L1065" s="17">
        <f>IF(ISBLANK($C1065),0,IF($C1065&lt;$C$981,ROUND($C$981*$L$980,2),IF($C1065&gt;L$981,ROUND(L$981*L$980,2),ROUND($C1065*L$980,2))))</f>
        <v>48180</v>
      </c>
      <c r="M1065" s="17">
        <f>IF($C1065&gt;L$981,ROUND(($C1065-L$981)*M$980,2),0)</f>
        <v>0</v>
      </c>
      <c r="N1065" s="17">
        <f>K1065</f>
        <v>-0.04</v>
      </c>
      <c r="O1065" s="17"/>
      <c r="P1065" s="17"/>
      <c r="Q1065" s="17">
        <f>SUM(L1065:M1065)</f>
        <v>48180</v>
      </c>
      <c r="R1065" s="16" t="e">
        <f>ROUND(SUM(K1065:M1065)*(R1064-1),2)</f>
        <v>#N/A</v>
      </c>
      <c r="S1065" s="17">
        <f>ROUND($B1065*S$980*S1064,2)</f>
        <v>0</v>
      </c>
      <c r="T1065" s="17">
        <f>ROUND($B1065*T$980,2)</f>
        <v>0</v>
      </c>
      <c r="U1065" s="17">
        <f>ROUND($B1065*U$980,2)</f>
        <v>0</v>
      </c>
      <c r="V1065" s="8">
        <f>ROUND($B1065*V$978,2)</f>
        <v>0</v>
      </c>
      <c r="W1065" s="17">
        <f>ROUND($B1065*W$980,2)</f>
        <v>0</v>
      </c>
      <c r="X1065" s="17">
        <f>ROUND($B1065*X$980,2)</f>
        <v>0</v>
      </c>
      <c r="Y1065" s="17">
        <f>ROUND($B1065*Y$980,2)</f>
        <v>0</v>
      </c>
      <c r="Z1065" s="17">
        <f>ROUND($B1065*Z$980,2)</f>
        <v>0</v>
      </c>
      <c r="AA1065" s="17">
        <f>ROUND($B1065*AA$980,2)</f>
        <v>0</v>
      </c>
      <c r="AB1065" s="19">
        <f>SUM(U$980:AA$980)+(-V$980+V1049)</f>
        <v>2.3699999999999997E-3</v>
      </c>
      <c r="AC1065" s="67" t="str">
        <f>+F1065</f>
        <v>HL33</v>
      </c>
    </row>
    <row r="1066" spans="1:29" x14ac:dyDescent="0.2">
      <c r="A1066" s="48"/>
      <c r="B1066" s="103">
        <v>-1</v>
      </c>
      <c r="D1066" s="8"/>
      <c r="E1066" s="9"/>
      <c r="F1066" s="36"/>
      <c r="G1066" s="12"/>
      <c r="H1066" s="12"/>
      <c r="J1066" s="12"/>
      <c r="K1066" s="12"/>
      <c r="L1066" s="12"/>
      <c r="M1066" s="12"/>
      <c r="N1066" s="12"/>
      <c r="O1066" s="12"/>
      <c r="P1066" s="12"/>
      <c r="Q1066" s="12"/>
      <c r="R1066" s="38" t="e">
        <f>VLOOKUP((D1067),'Pwr Factor'!$A$1:$B$52,2)</f>
        <v>#N/A</v>
      </c>
      <c r="S1066" s="50">
        <v>0.5</v>
      </c>
      <c r="T1066" s="12"/>
      <c r="U1066" s="12"/>
      <c r="V1066" s="12"/>
      <c r="W1066" s="12"/>
      <c r="X1066" s="12"/>
      <c r="Y1066" s="12"/>
      <c r="Z1066" s="12"/>
      <c r="AA1066" s="12"/>
    </row>
    <row r="1067" spans="1:29" x14ac:dyDescent="0.2">
      <c r="A1067" s="1" t="s">
        <v>149</v>
      </c>
      <c r="B1067" s="103">
        <f>IF(AND('AES Indiana Bill Calc.'!$D$17="HL3",'AES Indiana Bill Calc.'!$D$18="Yes 50%",'AES Indiana Bill Calc.'!$D$20="Yes 2023"),'AES Indiana Bill Calc.'!$D$19,-1)</f>
        <v>-1</v>
      </c>
      <c r="C1067" s="103">
        <f>MAX(E1067,$C$769)</f>
        <v>2000</v>
      </c>
      <c r="D1067" s="103" t="b">
        <f>IF(AND('AES Indiana Bill Calc.'!$D$17="HL3",'AES Indiana Bill Calc.'!$D$18="Yes 50%",'AES Indiana Bill Calc.'!$D$20="Yes 2023"),'AES Indiana Bill Calc.'!$D$22)</f>
        <v>0</v>
      </c>
      <c r="E1067" s="103" t="b">
        <f>IF(AND('AES Indiana Bill Calc.'!$D$17="HL3",'AES Indiana Bill Calc.'!$D$18="Yes 50%",'AES Indiana Bill Calc.'!$D$20="Yes 2023"),'AES Indiana Bill Calc.'!$D$21)</f>
        <v>0</v>
      </c>
      <c r="F1067" s="36" t="s">
        <v>253</v>
      </c>
      <c r="G1067" s="92" t="e">
        <f>SUM(J1067:M1067,R1067:AA1067)</f>
        <v>#N/A</v>
      </c>
      <c r="H1067" s="19" t="e">
        <f>IF(ISBLANK(B1067),0,+#REF!/B1067)</f>
        <v>#REF!</v>
      </c>
      <c r="J1067" s="51">
        <f>IF(ISBLANK(B1067),0,+J$980)</f>
        <v>500</v>
      </c>
      <c r="K1067" s="17">
        <f>ROUND($B1067*K$980,2)</f>
        <v>-0.04</v>
      </c>
      <c r="L1067" s="17">
        <f>IF(ISBLANK($C1067),0,IF($C1067&lt;$C$981,ROUND($C$981*$L$980,2),IF($C1067&gt;L$981,ROUND(L$981*L$980,2),ROUND($C1067*L$980,2))))</f>
        <v>48180</v>
      </c>
      <c r="M1067" s="17">
        <f>IF($C1067&gt;L$981,ROUND(($C1067-L$981)*M$980,2),0)</f>
        <v>0</v>
      </c>
      <c r="N1067" s="17">
        <f>K1067</f>
        <v>-0.04</v>
      </c>
      <c r="O1067" s="17"/>
      <c r="P1067" s="17"/>
      <c r="Q1067" s="17">
        <f>SUM(L1067:M1067)</f>
        <v>48180</v>
      </c>
      <c r="R1067" s="16" t="e">
        <f>ROUND(SUM(K1067:M1067)*(R1066-1),2)</f>
        <v>#N/A</v>
      </c>
      <c r="S1067" s="17">
        <f>ROUND($B1067*S$980*S1066,2)</f>
        <v>0</v>
      </c>
      <c r="T1067" s="17">
        <f>ROUND($B1067*T$980,2)</f>
        <v>0</v>
      </c>
      <c r="U1067" s="17">
        <f>ROUND($B1067*U$980,2)</f>
        <v>0</v>
      </c>
      <c r="V1067" s="8">
        <f>ROUND($B1067*V$978,2)</f>
        <v>0</v>
      </c>
      <c r="W1067" s="17">
        <f>ROUND($B1067*W$980,2)</f>
        <v>0</v>
      </c>
      <c r="X1067" s="17">
        <f>ROUND($B1067*X$980,2)</f>
        <v>0</v>
      </c>
      <c r="Y1067" s="17">
        <f>ROUND($B1067*Y$980,2)</f>
        <v>0</v>
      </c>
      <c r="Z1067" s="17">
        <f>ROUND($B1067*Z$980,2)</f>
        <v>0</v>
      </c>
      <c r="AA1067" s="17">
        <f>ROUND($B1067*AA$980,2)</f>
        <v>0</v>
      </c>
      <c r="AB1067" s="19">
        <f>SUM(U$980:AA$980)+(-V$980+V1051)</f>
        <v>2.3699999999999997E-3</v>
      </c>
      <c r="AC1067" s="67" t="str">
        <f>+F1067</f>
        <v>HL33</v>
      </c>
    </row>
    <row r="1068" spans="1:29" x14ac:dyDescent="0.2">
      <c r="A1068" s="9"/>
      <c r="B1068" s="103">
        <v>-1</v>
      </c>
      <c r="D1068" s="8"/>
      <c r="E1068" s="9"/>
      <c r="F1068" s="36"/>
      <c r="G1068" s="12"/>
      <c r="H1068" s="12"/>
      <c r="J1068" s="12"/>
      <c r="K1068" s="12"/>
      <c r="L1068" s="12"/>
      <c r="M1068" s="12"/>
      <c r="N1068" s="12"/>
      <c r="O1068" s="12"/>
      <c r="P1068" s="12"/>
      <c r="Q1068" s="12"/>
      <c r="R1068" s="38" t="e">
        <f>VLOOKUP((D1069),'Pwr Factor'!$A$1:$B$52,2)</f>
        <v>#N/A</v>
      </c>
      <c r="S1068" s="50">
        <v>0.25</v>
      </c>
      <c r="T1068" s="12"/>
      <c r="U1068" s="12"/>
      <c r="V1068" s="12"/>
      <c r="W1068" s="12"/>
      <c r="X1068" s="12"/>
      <c r="Y1068" s="12"/>
      <c r="Z1068" s="12"/>
      <c r="AA1068" s="12"/>
    </row>
    <row r="1069" spans="1:29" x14ac:dyDescent="0.2">
      <c r="A1069" s="1" t="s">
        <v>150</v>
      </c>
      <c r="B1069" s="103">
        <f>IF(AND('AES Indiana Bill Calc.'!$D$17="HL3",'AES Indiana Bill Calc.'!$D$18="Yes 25%",'AES Indiana Bill Calc.'!$D$20="Yes 2023"),'AES Indiana Bill Calc.'!$D$19,-1)</f>
        <v>-1</v>
      </c>
      <c r="C1069" s="103">
        <f>MAX(E1069,$C$769)</f>
        <v>2000</v>
      </c>
      <c r="D1069" s="103" t="b">
        <f>IF(AND('AES Indiana Bill Calc.'!$D$17="HL3",'AES Indiana Bill Calc.'!$D$18="Yes 25%",'AES Indiana Bill Calc.'!$D$20="Yes 2023"),'AES Indiana Bill Calc.'!$D$22)</f>
        <v>0</v>
      </c>
      <c r="E1069" s="103" t="b">
        <f>IF(AND('AES Indiana Bill Calc.'!$D$17="HL3",'AES Indiana Bill Calc.'!$D$18="Yes 25%",'AES Indiana Bill Calc.'!$D$20="Yes 2023"),'AES Indiana Bill Calc.'!$D$21)</f>
        <v>0</v>
      </c>
      <c r="F1069" s="36" t="s">
        <v>253</v>
      </c>
      <c r="G1069" s="92" t="e">
        <f>SUM(J1069:M1069,R1069:AA1069)</f>
        <v>#N/A</v>
      </c>
      <c r="H1069" s="19" t="e">
        <f>IF(ISBLANK(B1069),0,+#REF!/B1069)</f>
        <v>#REF!</v>
      </c>
      <c r="J1069" s="51">
        <f>IF(ISBLANK(B1069),0,+J$980)</f>
        <v>500</v>
      </c>
      <c r="K1069" s="17">
        <f>ROUND($B1069*K$980,2)</f>
        <v>-0.04</v>
      </c>
      <c r="L1069" s="17">
        <f>IF(ISBLANK($C1069),0,IF($C1069&lt;$C$981,ROUND($C$981*$L$980,2),IF($C1069&gt;L$981,ROUND(L$981*L$980,2),ROUND($C1069*L$980,2))))</f>
        <v>48180</v>
      </c>
      <c r="M1069" s="17">
        <f>IF($C1069&gt;L$981,ROUND(($C1069-L$981)*M$980,2),0)</f>
        <v>0</v>
      </c>
      <c r="N1069" s="17">
        <f>K1069</f>
        <v>-0.04</v>
      </c>
      <c r="O1069" s="17"/>
      <c r="P1069" s="17"/>
      <c r="Q1069" s="17">
        <f>SUM(L1069:M1069)</f>
        <v>48180</v>
      </c>
      <c r="R1069" s="16" t="e">
        <f>ROUND(SUM(K1069:M1069)*(R1068-1),2)</f>
        <v>#N/A</v>
      </c>
      <c r="S1069" s="17">
        <f>ROUND($B1069*S$980*S1068,2)</f>
        <v>0</v>
      </c>
      <c r="T1069" s="17">
        <f>ROUND($B1069*T$980,2)</f>
        <v>0</v>
      </c>
      <c r="U1069" s="17">
        <f>ROUND($B1069*U$980,2)</f>
        <v>0</v>
      </c>
      <c r="V1069" s="8">
        <f>ROUND($B1069*V$978,2)</f>
        <v>0</v>
      </c>
      <c r="W1069" s="17">
        <f>ROUND($B1069*W$980,2)</f>
        <v>0</v>
      </c>
      <c r="X1069" s="17">
        <f>ROUND($B1069*X$980,2)</f>
        <v>0</v>
      </c>
      <c r="Y1069" s="17">
        <f>ROUND($B1069*Y$980,2)</f>
        <v>0</v>
      </c>
      <c r="Z1069" s="17">
        <f>ROUND($B1069*Z$980,2)</f>
        <v>0</v>
      </c>
      <c r="AA1069" s="17">
        <f>ROUND($B1069*AA$980,2)</f>
        <v>0</v>
      </c>
      <c r="AB1069" s="19">
        <f>SUM(U$980:AA$980)+(-V$980+V1053)</f>
        <v>2.3699999999999997E-3</v>
      </c>
      <c r="AC1069" s="67" t="str">
        <f>+F1069</f>
        <v>HL33</v>
      </c>
    </row>
    <row r="1070" spans="1:29" x14ac:dyDescent="0.2">
      <c r="A1070" s="9"/>
      <c r="B1070" s="103">
        <v>-1</v>
      </c>
      <c r="D1070" s="8"/>
      <c r="E1070" s="9"/>
      <c r="F1070" s="36"/>
      <c r="G1070" s="12"/>
      <c r="H1070" s="12"/>
      <c r="J1070" s="12"/>
      <c r="K1070" s="12"/>
      <c r="L1070" s="12"/>
      <c r="M1070" s="12"/>
      <c r="N1070" s="12"/>
      <c r="O1070" s="12"/>
      <c r="P1070" s="12"/>
      <c r="Q1070" s="12"/>
      <c r="R1070" s="38" t="e">
        <f>VLOOKUP((D1071),'Pwr Factor'!$A$1:$B$52,2)</f>
        <v>#N/A</v>
      </c>
      <c r="S1070" s="50">
        <v>0.1</v>
      </c>
      <c r="T1070" s="12"/>
      <c r="U1070" s="12"/>
      <c r="V1070" s="12"/>
      <c r="W1070" s="12"/>
      <c r="X1070" s="12"/>
      <c r="Y1070" s="12"/>
      <c r="Z1070" s="12"/>
      <c r="AA1070" s="12"/>
    </row>
    <row r="1071" spans="1:29" x14ac:dyDescent="0.2">
      <c r="A1071" s="1" t="s">
        <v>164</v>
      </c>
      <c r="B1071" s="103">
        <f>IF(AND('AES Indiana Bill Calc.'!$D$17="HL3",'AES Indiana Bill Calc.'!$D$18="Yes 10%",'AES Indiana Bill Calc.'!$D$20="Yes 2023"),'AES Indiana Bill Calc.'!$D$19,-1)</f>
        <v>-1</v>
      </c>
      <c r="C1071" s="103">
        <f>MAX(E1071,$C$769)</f>
        <v>2000</v>
      </c>
      <c r="D1071" s="103" t="b">
        <f>IF(AND('AES Indiana Bill Calc.'!$D$17="HL3",'AES Indiana Bill Calc.'!$D$18="Yes 10%",'AES Indiana Bill Calc.'!$D$20="Yes 2023"),'AES Indiana Bill Calc.'!$D$22)</f>
        <v>0</v>
      </c>
      <c r="E1071" s="103" t="b">
        <f>IF(AND('AES Indiana Bill Calc.'!$D$17="HL3",'AES Indiana Bill Calc.'!$D$18="Yes 10%",'AES Indiana Bill Calc.'!$D$20="Yes 2023"),'AES Indiana Bill Calc.'!$D$21)</f>
        <v>0</v>
      </c>
      <c r="F1071" s="36" t="s">
        <v>253</v>
      </c>
      <c r="G1071" s="92" t="e">
        <f>SUM(J1071:M1071,R1071:AA1071)</f>
        <v>#N/A</v>
      </c>
      <c r="H1071" s="19" t="e">
        <f>IF(ISBLANK(B1071),0,+#REF!/B1071)</f>
        <v>#REF!</v>
      </c>
      <c r="J1071" s="51">
        <f>IF(ISBLANK(B1071),0,+J$980)</f>
        <v>500</v>
      </c>
      <c r="K1071" s="17">
        <f>ROUND($B1071*K$980,2)</f>
        <v>-0.04</v>
      </c>
      <c r="L1071" s="17">
        <f>IF(ISBLANK($C1071),0,IF($C1071&lt;$C$981,ROUND($C$981*$L$980,2),IF($C1071&gt;L$981,ROUND(L$981*L$980,2),ROUND($C1071*L$980,2))))</f>
        <v>48180</v>
      </c>
      <c r="M1071" s="17">
        <f>IF($C1071&gt;L$981,ROUND(($C1071-L$981)*M$980,2),0)</f>
        <v>0</v>
      </c>
      <c r="N1071" s="17">
        <f>K1071</f>
        <v>-0.04</v>
      </c>
      <c r="O1071" s="17"/>
      <c r="P1071" s="17"/>
      <c r="Q1071" s="17">
        <f>SUM(L1071:M1071)</f>
        <v>48180</v>
      </c>
      <c r="R1071" s="16" t="e">
        <f>ROUND(SUM(K1071:M1071)*(R1070-1),2)</f>
        <v>#N/A</v>
      </c>
      <c r="S1071" s="17">
        <f>ROUND($B1071*S$980*S1070,2)</f>
        <v>0</v>
      </c>
      <c r="T1071" s="17">
        <f>ROUND($B1071*T$980,2)</f>
        <v>0</v>
      </c>
      <c r="U1071" s="17">
        <f>ROUND($B1071*U$980,2)</f>
        <v>0</v>
      </c>
      <c r="V1071" s="8">
        <f>ROUND($B1071*V$978,2)</f>
        <v>0</v>
      </c>
      <c r="W1071" s="17">
        <f>ROUND($B1071*W$980,2)</f>
        <v>0</v>
      </c>
      <c r="X1071" s="17">
        <f>ROUND($B1071*X$980,2)</f>
        <v>0</v>
      </c>
      <c r="Y1071" s="17">
        <f>ROUND($B1071*Y$980,2)</f>
        <v>0</v>
      </c>
      <c r="Z1071" s="17">
        <f>ROUND($B1071*Z$980,2)</f>
        <v>0</v>
      </c>
      <c r="AA1071" s="17">
        <f>ROUND($B1071*AA$980,2)</f>
        <v>0</v>
      </c>
      <c r="AB1071" s="19">
        <f>SUM(U$980:AA$980)+(-V$980+V1055)</f>
        <v>2.3699999999999997E-3</v>
      </c>
      <c r="AC1071" s="67" t="str">
        <f>+F1071</f>
        <v>HL33</v>
      </c>
    </row>
    <row r="1072" spans="1:29" x14ac:dyDescent="0.2">
      <c r="A1072" s="9"/>
      <c r="B1072" s="103">
        <v>-1</v>
      </c>
      <c r="D1072" s="8"/>
      <c r="E1072" s="9"/>
      <c r="F1072" s="36"/>
      <c r="G1072" s="12"/>
      <c r="H1072" s="12"/>
      <c r="J1072" s="12"/>
      <c r="K1072" s="12"/>
      <c r="L1072" s="12"/>
      <c r="M1072" s="12"/>
      <c r="N1072" s="12"/>
      <c r="O1072" s="12"/>
      <c r="P1072" s="12"/>
      <c r="Q1072" s="12"/>
      <c r="R1072" s="38" t="e">
        <f>VLOOKUP((D1073),'Pwr Factor'!$A$1:$B$52,2)</f>
        <v>#N/A</v>
      </c>
      <c r="S1072" s="50">
        <v>0</v>
      </c>
      <c r="T1072" s="12"/>
      <c r="U1072" s="12"/>
      <c r="V1072" s="12"/>
      <c r="W1072" s="12"/>
      <c r="X1072" s="12"/>
      <c r="Y1072" s="12"/>
      <c r="Z1072" s="12"/>
      <c r="AA1072" s="12"/>
    </row>
    <row r="1073" spans="1:29" x14ac:dyDescent="0.2">
      <c r="A1073" s="1" t="s">
        <v>147</v>
      </c>
      <c r="B1073" s="103">
        <f>IF(AND('AES Indiana Bill Calc.'!$D$17="HL3",'AES Indiana Bill Calc.'!$D$18="No",'AES Indiana Bill Calc.'!$D$20="Yes 2023"),'AES Indiana Bill Calc.'!$D$19,-1)</f>
        <v>-1</v>
      </c>
      <c r="C1073" s="103">
        <f>MAX(E1073,$C$769)</f>
        <v>2000</v>
      </c>
      <c r="D1073" s="103" t="b">
        <f>IF(AND('AES Indiana Bill Calc.'!$D$17="HL3",'AES Indiana Bill Calc.'!$D$18="No",'AES Indiana Bill Calc.'!$D$20="Yes 2023"),'AES Indiana Bill Calc.'!$D$22)</f>
        <v>0</v>
      </c>
      <c r="E1073" s="103" t="b">
        <f>IF(AND('AES Indiana Bill Calc.'!$D$17="HL3",'AES Indiana Bill Calc.'!$D$18="No",'AES Indiana Bill Calc.'!$D$20="Yes 2023"),'AES Indiana Bill Calc.'!$D$21)</f>
        <v>0</v>
      </c>
      <c r="F1073" s="36" t="s">
        <v>253</v>
      </c>
      <c r="G1073" s="92" t="e">
        <f>SUM(J1073:M1073,R1073:AA1073)</f>
        <v>#N/A</v>
      </c>
      <c r="H1073" s="19" t="e">
        <f>IF(ISBLANK(B1073),0,+#REF!/B1073)</f>
        <v>#REF!</v>
      </c>
      <c r="J1073" s="51">
        <f>IF(ISBLANK(B1073),0,+J$980)</f>
        <v>500</v>
      </c>
      <c r="K1073" s="17">
        <f>ROUND($B1073*K$980,2)</f>
        <v>-0.04</v>
      </c>
      <c r="L1073" s="17">
        <f>IF(ISBLANK($C1073),0,IF($C1073&lt;$C$981,ROUND($C$981*$L$980,2),IF($C1073&gt;L$981,ROUND(L$981*L$980,2),ROUND($C1073*L$980,2))))</f>
        <v>48180</v>
      </c>
      <c r="M1073" s="17">
        <f>IF($C1073&gt;L$981,ROUND(($C1073-L$981)*M$980,2),0)</f>
        <v>0</v>
      </c>
      <c r="N1073" s="17">
        <f>K1073</f>
        <v>-0.04</v>
      </c>
      <c r="O1073" s="17"/>
      <c r="P1073" s="17"/>
      <c r="Q1073" s="17">
        <f>SUM(L1073:M1073)</f>
        <v>48180</v>
      </c>
      <c r="R1073" s="16" t="e">
        <f>ROUND(SUM(K1073:M1073)*(R1072-1),2)</f>
        <v>#N/A</v>
      </c>
      <c r="S1073" s="17">
        <f>ROUND($B1073*S$980*S1072,2)</f>
        <v>0</v>
      </c>
      <c r="T1073" s="17">
        <f>ROUND($B1073*T$980,2)</f>
        <v>0</v>
      </c>
      <c r="U1073" s="17">
        <f>ROUND($B1073*U$980,2)</f>
        <v>0</v>
      </c>
      <c r="V1073" s="8">
        <f>ROUND($B1073*V$978,2)</f>
        <v>0</v>
      </c>
      <c r="W1073" s="17">
        <f>ROUND($B1073*W$980,2)</f>
        <v>0</v>
      </c>
      <c r="X1073" s="17">
        <f>ROUND($B1073*X$980,2)</f>
        <v>0</v>
      </c>
      <c r="Y1073" s="17">
        <f>ROUND($B1073*Y$980,2)</f>
        <v>0</v>
      </c>
      <c r="Z1073" s="17">
        <f>ROUND($B1073*Z$980,2)</f>
        <v>0</v>
      </c>
      <c r="AA1073" s="17">
        <f>ROUND($B1073*AA$980,2)</f>
        <v>0</v>
      </c>
      <c r="AB1073" s="19">
        <f>SUM(U$980:AA$980)+(-V$980+V1057)</f>
        <v>2.3699999999999997E-3</v>
      </c>
      <c r="AC1073" s="67" t="str">
        <f>+F1073</f>
        <v>HL33</v>
      </c>
    </row>
    <row r="1074" spans="1:29" x14ac:dyDescent="0.2">
      <c r="A1074" s="48"/>
      <c r="B1074" s="103">
        <v>-1</v>
      </c>
      <c r="D1074" s="8"/>
      <c r="E1074" s="9"/>
      <c r="F1074" s="36"/>
      <c r="G1074" s="12"/>
      <c r="H1074" s="12"/>
      <c r="J1074" s="12"/>
      <c r="K1074" s="12"/>
      <c r="L1074" s="12"/>
      <c r="M1074" s="12"/>
      <c r="N1074" s="12"/>
      <c r="O1074" s="12"/>
      <c r="P1074" s="12"/>
      <c r="Q1074" s="12"/>
      <c r="R1074" s="38" t="e">
        <f>VLOOKUP((D1075),'Pwr Factor'!$A$1:$B$52,2)</f>
        <v>#N/A</v>
      </c>
      <c r="S1074" s="50">
        <v>1</v>
      </c>
      <c r="T1074" s="12"/>
      <c r="U1074" s="12"/>
      <c r="V1074" s="12"/>
      <c r="W1074" s="12"/>
      <c r="X1074" s="12"/>
      <c r="Y1074" s="12"/>
      <c r="Z1074" s="12"/>
      <c r="AA1074" s="12"/>
    </row>
    <row r="1075" spans="1:29" x14ac:dyDescent="0.2">
      <c r="A1075" s="1" t="s">
        <v>148</v>
      </c>
      <c r="B1075" s="103">
        <f>IF(AND('AES Indiana Bill Calc.'!$D$17="HL3",'AES Indiana Bill Calc.'!$D$18="Yes 100%",'AES Indiana Bill Calc.'!$D$20="Yes 2024"),'AES Indiana Bill Calc.'!$D$19,-1)</f>
        <v>-1</v>
      </c>
      <c r="C1075" s="103">
        <f>MAX(E1075,$C$769)</f>
        <v>2000</v>
      </c>
      <c r="D1075" s="103" t="b">
        <f>IF(AND('AES Indiana Bill Calc.'!$D$17="HL3",'AES Indiana Bill Calc.'!$D$18="Yes 100%",'AES Indiana Bill Calc.'!$D$20="Yes 2024"),'AES Indiana Bill Calc.'!$D$22)</f>
        <v>0</v>
      </c>
      <c r="E1075" s="103" t="b">
        <f>IF(AND('AES Indiana Bill Calc.'!$D$17="HL3",'AES Indiana Bill Calc.'!$D$18="Yes 100%",'AES Indiana Bill Calc.'!$D$20="Yes 2024"),'AES Indiana Bill Calc.'!$D$21)</f>
        <v>0</v>
      </c>
      <c r="F1075" s="36" t="s">
        <v>300</v>
      </c>
      <c r="G1075" s="92" t="e">
        <f>SUM(J1075:M1075,R1075:AA1075)</f>
        <v>#N/A</v>
      </c>
      <c r="H1075" s="19" t="e">
        <f>IF(ISBLANK(B1075),0,+#REF!/B1075)</f>
        <v>#REF!</v>
      </c>
      <c r="J1075" s="51">
        <f>IF(ISBLANK(B1075),0,+J$980)</f>
        <v>500</v>
      </c>
      <c r="K1075" s="17">
        <f>ROUND($B1075*K$980,2)</f>
        <v>-0.04</v>
      </c>
      <c r="L1075" s="17">
        <f>IF(ISBLANK($C1075),0,IF($C1075&lt;$C$981,ROUND($C$981*$L$980,2),IF($C1075&gt;L$981,ROUND(L$981*L$980,2),ROUND($C1075*L$980,2))))</f>
        <v>48180</v>
      </c>
      <c r="M1075" s="17">
        <f>IF($C1075&gt;L$981,ROUND(($C1075-L$981)*M$980,2),0)</f>
        <v>0</v>
      </c>
      <c r="N1075" s="17">
        <f>K1075</f>
        <v>-0.04</v>
      </c>
      <c r="O1075" s="17"/>
      <c r="P1075" s="17"/>
      <c r="Q1075" s="17">
        <f>SUM(L1075:M1075)</f>
        <v>48180</v>
      </c>
      <c r="R1075" s="16" t="e">
        <f>ROUND(SUM(K1075:M1075)*(R1074-1),2)</f>
        <v>#N/A</v>
      </c>
      <c r="S1075" s="17">
        <f>ROUND($B1075*S$980*S1074,2)</f>
        <v>0</v>
      </c>
      <c r="T1075" s="17">
        <f>ROUND($B1075*T$980,2)</f>
        <v>0</v>
      </c>
      <c r="U1075" s="17">
        <f>ROUND($B1075*U$980,2)</f>
        <v>0</v>
      </c>
      <c r="V1075" s="8">
        <f>ROUND($B1075*V$979,2)</f>
        <v>0</v>
      </c>
      <c r="W1075" s="17">
        <f>ROUND($B1075*W$980,2)</f>
        <v>0</v>
      </c>
      <c r="X1075" s="17">
        <f>ROUND($B1075*X$980,2)</f>
        <v>0</v>
      </c>
      <c r="Y1075" s="17">
        <f>ROUND($B1075*Y$980,2)</f>
        <v>0</v>
      </c>
      <c r="Z1075" s="17">
        <f>ROUND($B1075*Z$980,2)</f>
        <v>0</v>
      </c>
      <c r="AA1075" s="17">
        <f>ROUND($B1075*AA$980,2)</f>
        <v>0</v>
      </c>
      <c r="AB1075" s="19">
        <f>SUM(U$980:AA$980)+(-V$980+V1059)</f>
        <v>2.3699999999999997E-3</v>
      </c>
      <c r="AC1075" s="67" t="str">
        <f>+F1075</f>
        <v>HL34</v>
      </c>
    </row>
    <row r="1076" spans="1:29" x14ac:dyDescent="0.2">
      <c r="A1076" s="48"/>
      <c r="B1076" s="103">
        <v>-1</v>
      </c>
      <c r="D1076" s="8"/>
      <c r="E1076" s="9"/>
      <c r="F1076" s="36"/>
      <c r="G1076" s="12"/>
      <c r="H1076" s="12"/>
      <c r="J1076" s="12"/>
      <c r="K1076" s="12"/>
      <c r="L1076" s="12"/>
      <c r="M1076" s="12"/>
      <c r="N1076" s="12"/>
      <c r="O1076" s="12"/>
      <c r="P1076" s="12"/>
      <c r="Q1076" s="12"/>
      <c r="R1076" s="38" t="e">
        <f>VLOOKUP((D1077),'Pwr Factor'!$A$1:$B$52,2)</f>
        <v>#N/A</v>
      </c>
      <c r="S1076" s="50">
        <v>0.5</v>
      </c>
      <c r="T1076" s="12"/>
      <c r="U1076" s="12"/>
      <c r="V1076" s="12"/>
      <c r="W1076" s="12"/>
      <c r="X1076" s="12"/>
      <c r="Y1076" s="12"/>
      <c r="Z1076" s="12"/>
      <c r="AA1076" s="12"/>
    </row>
    <row r="1077" spans="1:29" x14ac:dyDescent="0.2">
      <c r="A1077" s="1" t="s">
        <v>149</v>
      </c>
      <c r="B1077" s="103">
        <f>IF(AND('AES Indiana Bill Calc.'!$D$17="HL3",'AES Indiana Bill Calc.'!$D$18="Yes 50%",'AES Indiana Bill Calc.'!$D$20="Yes 2024"),'AES Indiana Bill Calc.'!$D$19,-1)</f>
        <v>-1</v>
      </c>
      <c r="C1077" s="103">
        <f>MAX(E1077,$C$769)</f>
        <v>2000</v>
      </c>
      <c r="D1077" s="103" t="b">
        <f>IF(AND('AES Indiana Bill Calc.'!$D$17="HL3",'AES Indiana Bill Calc.'!$D$18="Yes 50%",'AES Indiana Bill Calc.'!$D$20="Yes 2024"),'AES Indiana Bill Calc.'!$D$22)</f>
        <v>0</v>
      </c>
      <c r="E1077" s="103" t="b">
        <f>IF(AND('AES Indiana Bill Calc.'!$D$17="HL3",'AES Indiana Bill Calc.'!$D$18="Yes 50%",'AES Indiana Bill Calc.'!$D$20="Yes 2024"),'AES Indiana Bill Calc.'!$D$21)</f>
        <v>0</v>
      </c>
      <c r="F1077" s="36" t="s">
        <v>300</v>
      </c>
      <c r="G1077" s="92" t="e">
        <f>SUM(J1077:M1077,R1077:AA1077)</f>
        <v>#N/A</v>
      </c>
      <c r="H1077" s="19" t="e">
        <f>IF(ISBLANK(B1077),0,+#REF!/B1077)</f>
        <v>#REF!</v>
      </c>
      <c r="J1077" s="51">
        <f>IF(ISBLANK(B1077),0,+J$980)</f>
        <v>500</v>
      </c>
      <c r="K1077" s="17">
        <f>ROUND($B1077*K$980,2)</f>
        <v>-0.04</v>
      </c>
      <c r="L1077" s="17">
        <f>IF(ISBLANK($C1077),0,IF($C1077&lt;$C$981,ROUND($C$981*$L$980,2),IF($C1077&gt;L$981,ROUND(L$981*L$980,2),ROUND($C1077*L$980,2))))</f>
        <v>48180</v>
      </c>
      <c r="M1077" s="17">
        <f>IF($C1077&gt;L$981,ROUND(($C1077-L$981)*M$980,2),0)</f>
        <v>0</v>
      </c>
      <c r="N1077" s="17">
        <f>K1077</f>
        <v>-0.04</v>
      </c>
      <c r="O1077" s="17"/>
      <c r="P1077" s="17"/>
      <c r="Q1077" s="17">
        <f>SUM(L1077:M1077)</f>
        <v>48180</v>
      </c>
      <c r="R1077" s="16" t="e">
        <f>ROUND(SUM(K1077:M1077)*(R1076-1),2)</f>
        <v>#N/A</v>
      </c>
      <c r="S1077" s="17">
        <f>ROUND($B1077*S$980*S1076,2)</f>
        <v>0</v>
      </c>
      <c r="T1077" s="17">
        <f>ROUND($B1077*T$980,2)</f>
        <v>0</v>
      </c>
      <c r="U1077" s="17">
        <f>ROUND($B1077*U$980,2)</f>
        <v>0</v>
      </c>
      <c r="V1077" s="8">
        <f>ROUND($B1077*V$979,2)</f>
        <v>0</v>
      </c>
      <c r="W1077" s="17">
        <f>ROUND($B1077*W$980,2)</f>
        <v>0</v>
      </c>
      <c r="X1077" s="17">
        <f>ROUND($B1077*X$980,2)</f>
        <v>0</v>
      </c>
      <c r="Y1077" s="17">
        <f>ROUND($B1077*Y$980,2)</f>
        <v>0</v>
      </c>
      <c r="Z1077" s="17">
        <f>ROUND($B1077*Z$980,2)</f>
        <v>0</v>
      </c>
      <c r="AA1077" s="17">
        <f>ROUND($B1077*AA$980,2)</f>
        <v>0</v>
      </c>
      <c r="AB1077" s="19">
        <f>SUM(U$980:AA$980)+(-V$980+V1061)</f>
        <v>2.3699999999999997E-3</v>
      </c>
      <c r="AC1077" s="67" t="str">
        <f>+F1077</f>
        <v>HL34</v>
      </c>
    </row>
    <row r="1078" spans="1:29" x14ac:dyDescent="0.2">
      <c r="A1078" s="9"/>
      <c r="B1078" s="103">
        <v>-1</v>
      </c>
      <c r="D1078" s="8"/>
      <c r="E1078" s="9"/>
      <c r="F1078" s="36"/>
      <c r="G1078" s="12"/>
      <c r="H1078" s="12"/>
      <c r="J1078" s="12"/>
      <c r="K1078" s="12"/>
      <c r="L1078" s="12"/>
      <c r="M1078" s="12"/>
      <c r="N1078" s="12"/>
      <c r="O1078" s="12"/>
      <c r="P1078" s="12"/>
      <c r="Q1078" s="12"/>
      <c r="R1078" s="38" t="e">
        <f>VLOOKUP((D1079),'Pwr Factor'!$A$1:$B$52,2)</f>
        <v>#N/A</v>
      </c>
      <c r="S1078" s="50">
        <v>0.25</v>
      </c>
      <c r="T1078" s="12"/>
      <c r="U1078" s="12"/>
      <c r="V1078" s="12"/>
      <c r="W1078" s="12"/>
      <c r="X1078" s="12"/>
      <c r="Y1078" s="12"/>
      <c r="Z1078" s="12"/>
      <c r="AA1078" s="12"/>
    </row>
    <row r="1079" spans="1:29" x14ac:dyDescent="0.2">
      <c r="A1079" s="1" t="s">
        <v>150</v>
      </c>
      <c r="B1079" s="103">
        <f>IF(AND('AES Indiana Bill Calc.'!$D$17="HL3",'AES Indiana Bill Calc.'!$D$18="Yes 25%",'AES Indiana Bill Calc.'!$D$20="Yes 2024"),'AES Indiana Bill Calc.'!$D$19,-1)</f>
        <v>-1</v>
      </c>
      <c r="C1079" s="103">
        <f>MAX(E1079,$C$769)</f>
        <v>2000</v>
      </c>
      <c r="D1079" s="103" t="b">
        <f>IF(AND('AES Indiana Bill Calc.'!$D$17="HL3",'AES Indiana Bill Calc.'!$D$18="Yes 25%",'AES Indiana Bill Calc.'!$D$20="Yes 2024"),'AES Indiana Bill Calc.'!$D$22)</f>
        <v>0</v>
      </c>
      <c r="E1079" s="103" t="b">
        <f>IF(AND('AES Indiana Bill Calc.'!$D$17="HL3",'AES Indiana Bill Calc.'!$D$18="Yes 25%",'AES Indiana Bill Calc.'!$D$20="Yes 2024"),'AES Indiana Bill Calc.'!$D$21)</f>
        <v>0</v>
      </c>
      <c r="F1079" s="36" t="s">
        <v>300</v>
      </c>
      <c r="G1079" s="92" t="e">
        <f>SUM(J1079:M1079,R1079:AA1079)</f>
        <v>#N/A</v>
      </c>
      <c r="H1079" s="19" t="e">
        <f>IF(ISBLANK(B1079),0,+#REF!/B1079)</f>
        <v>#REF!</v>
      </c>
      <c r="J1079" s="51">
        <f>IF(ISBLANK(B1079),0,+J$980)</f>
        <v>500</v>
      </c>
      <c r="K1079" s="17">
        <f>ROUND($B1079*K$980,2)</f>
        <v>-0.04</v>
      </c>
      <c r="L1079" s="17">
        <f>IF(ISBLANK($C1079),0,IF($C1079&lt;$C$981,ROUND($C$981*$L$980,2),IF($C1079&gt;L$981,ROUND(L$981*L$980,2),ROUND($C1079*L$980,2))))</f>
        <v>48180</v>
      </c>
      <c r="M1079" s="17">
        <f>IF($C1079&gt;L$981,ROUND(($C1079-L$981)*M$980,2),0)</f>
        <v>0</v>
      </c>
      <c r="N1079" s="17">
        <f>K1079</f>
        <v>-0.04</v>
      </c>
      <c r="O1079" s="17"/>
      <c r="P1079" s="17"/>
      <c r="Q1079" s="17">
        <f>SUM(L1079:M1079)</f>
        <v>48180</v>
      </c>
      <c r="R1079" s="16" t="e">
        <f>ROUND(SUM(K1079:M1079)*(R1078-1),2)</f>
        <v>#N/A</v>
      </c>
      <c r="S1079" s="17">
        <f>ROUND($B1079*S$980*S1078,2)</f>
        <v>0</v>
      </c>
      <c r="T1079" s="17">
        <f>ROUND($B1079*T$980,2)</f>
        <v>0</v>
      </c>
      <c r="U1079" s="17">
        <f>ROUND($B1079*U$980,2)</f>
        <v>0</v>
      </c>
      <c r="V1079" s="8">
        <f>ROUND($B1079*V$979,2)</f>
        <v>0</v>
      </c>
      <c r="W1079" s="17">
        <f>ROUND($B1079*W$980,2)</f>
        <v>0</v>
      </c>
      <c r="X1079" s="17">
        <f>ROUND($B1079*X$980,2)</f>
        <v>0</v>
      </c>
      <c r="Y1079" s="17">
        <f>ROUND($B1079*Y$980,2)</f>
        <v>0</v>
      </c>
      <c r="Z1079" s="17">
        <f>ROUND($B1079*Z$980,2)</f>
        <v>0</v>
      </c>
      <c r="AA1079" s="17">
        <f>ROUND($B1079*AA$980,2)</f>
        <v>0</v>
      </c>
      <c r="AB1079" s="19">
        <f>SUM(U$980:AA$980)+(-V$980+V1063)</f>
        <v>2.3699999999999997E-3</v>
      </c>
      <c r="AC1079" s="67" t="str">
        <f>+F1079</f>
        <v>HL34</v>
      </c>
    </row>
    <row r="1080" spans="1:29" x14ac:dyDescent="0.2">
      <c r="A1080" s="9"/>
      <c r="B1080" s="103">
        <v>-1</v>
      </c>
      <c r="D1080" s="8"/>
      <c r="E1080" s="9"/>
      <c r="F1080" s="36"/>
      <c r="G1080" s="12"/>
      <c r="H1080" s="12"/>
      <c r="J1080" s="12"/>
      <c r="K1080" s="12"/>
      <c r="L1080" s="12"/>
      <c r="M1080" s="12"/>
      <c r="N1080" s="12"/>
      <c r="O1080" s="12"/>
      <c r="P1080" s="12"/>
      <c r="Q1080" s="12"/>
      <c r="R1080" s="38" t="e">
        <f>VLOOKUP((D1081),'Pwr Factor'!$A$1:$B$52,2)</f>
        <v>#N/A</v>
      </c>
      <c r="S1080" s="50">
        <v>0.1</v>
      </c>
      <c r="T1080" s="12"/>
      <c r="U1080" s="12"/>
      <c r="V1080" s="12"/>
      <c r="W1080" s="12"/>
      <c r="X1080" s="12"/>
      <c r="Y1080" s="12"/>
      <c r="Z1080" s="12"/>
      <c r="AA1080" s="12"/>
    </row>
    <row r="1081" spans="1:29" x14ac:dyDescent="0.2">
      <c r="A1081" s="1" t="s">
        <v>164</v>
      </c>
      <c r="B1081" s="103">
        <f>IF(AND('AES Indiana Bill Calc.'!$D$17="HL3",'AES Indiana Bill Calc.'!$D$18="Yes 10%",'AES Indiana Bill Calc.'!$D$20="Yes 2024"),'AES Indiana Bill Calc.'!$D$19,-1)</f>
        <v>-1</v>
      </c>
      <c r="C1081" s="103">
        <f>MAX(E1081,$C$769)</f>
        <v>2000</v>
      </c>
      <c r="D1081" s="103" t="b">
        <f>IF(AND('AES Indiana Bill Calc.'!$D$17="HL3",'AES Indiana Bill Calc.'!$D$18="Yes 10%",'AES Indiana Bill Calc.'!$D$20="Yes 2024"),'AES Indiana Bill Calc.'!$D$22)</f>
        <v>0</v>
      </c>
      <c r="E1081" s="103" t="b">
        <f>IF(AND('AES Indiana Bill Calc.'!$D$17="HL3",'AES Indiana Bill Calc.'!$D$18="Yes 10%",'AES Indiana Bill Calc.'!$D$20="Yes 2024"),'AES Indiana Bill Calc.'!$D$21)</f>
        <v>0</v>
      </c>
      <c r="F1081" s="36" t="s">
        <v>300</v>
      </c>
      <c r="G1081" s="92" t="e">
        <f>SUM(J1081:M1081,R1081:AA1081)</f>
        <v>#N/A</v>
      </c>
      <c r="H1081" s="19" t="e">
        <f>IF(ISBLANK(B1081),0,+#REF!/B1081)</f>
        <v>#REF!</v>
      </c>
      <c r="J1081" s="51">
        <f>IF(ISBLANK(B1081),0,+J$980)</f>
        <v>500</v>
      </c>
      <c r="K1081" s="17">
        <f>ROUND($B1081*K$980,2)</f>
        <v>-0.04</v>
      </c>
      <c r="L1081" s="17">
        <f>IF(ISBLANK($C1081),0,IF($C1081&lt;$C$981,ROUND($C$981*$L$980,2),IF($C1081&gt;L$981,ROUND(L$981*L$980,2),ROUND($C1081*L$980,2))))</f>
        <v>48180</v>
      </c>
      <c r="M1081" s="17">
        <f>IF($C1081&gt;L$981,ROUND(($C1081-L$981)*M$980,2),0)</f>
        <v>0</v>
      </c>
      <c r="N1081" s="17">
        <f>K1081</f>
        <v>-0.04</v>
      </c>
      <c r="O1081" s="17"/>
      <c r="P1081" s="17"/>
      <c r="Q1081" s="17">
        <f>SUM(L1081:M1081)</f>
        <v>48180</v>
      </c>
      <c r="R1081" s="16" t="e">
        <f>ROUND(SUM(K1081:M1081)*(R1080-1),2)</f>
        <v>#N/A</v>
      </c>
      <c r="S1081" s="17">
        <f>ROUND($B1081*S$980*S1080,2)</f>
        <v>0</v>
      </c>
      <c r="T1081" s="17">
        <f>ROUND($B1081*T$980,2)</f>
        <v>0</v>
      </c>
      <c r="U1081" s="17">
        <f>ROUND($B1081*U$980,2)</f>
        <v>0</v>
      </c>
      <c r="V1081" s="8">
        <f>ROUND($B1081*V$979,2)</f>
        <v>0</v>
      </c>
      <c r="W1081" s="17">
        <f>ROUND($B1081*W$980,2)</f>
        <v>0</v>
      </c>
      <c r="X1081" s="17">
        <f>ROUND($B1081*X$980,2)</f>
        <v>0</v>
      </c>
      <c r="Y1081" s="17">
        <f>ROUND($B1081*Y$980,2)</f>
        <v>0</v>
      </c>
      <c r="Z1081" s="17">
        <f>ROUND($B1081*Z$980,2)</f>
        <v>0</v>
      </c>
      <c r="AA1081" s="17">
        <f>ROUND($B1081*AA$980,2)</f>
        <v>0</v>
      </c>
      <c r="AB1081" s="19">
        <f>SUM(U$980:AA$980)+(-V$980+V1065)</f>
        <v>2.3699999999999997E-3</v>
      </c>
      <c r="AC1081" s="67" t="str">
        <f>+F1081</f>
        <v>HL34</v>
      </c>
    </row>
    <row r="1082" spans="1:29" x14ac:dyDescent="0.2">
      <c r="A1082" s="9"/>
      <c r="B1082" s="103">
        <v>-1</v>
      </c>
      <c r="D1082" s="8"/>
      <c r="E1082" s="9"/>
      <c r="F1082" s="36"/>
      <c r="G1082" s="12"/>
      <c r="H1082" s="12"/>
      <c r="J1082" s="12"/>
      <c r="K1082" s="12"/>
      <c r="L1082" s="12"/>
      <c r="M1082" s="12"/>
      <c r="N1082" s="12"/>
      <c r="O1082" s="12"/>
      <c r="P1082" s="12"/>
      <c r="Q1082" s="12"/>
      <c r="R1082" s="38" t="e">
        <f>VLOOKUP((D1083),'Pwr Factor'!$A$1:$B$52,2)</f>
        <v>#N/A</v>
      </c>
      <c r="S1082" s="50">
        <v>0</v>
      </c>
      <c r="T1082" s="12"/>
      <c r="U1082" s="12"/>
      <c r="V1082" s="12"/>
      <c r="W1082" s="12"/>
      <c r="X1082" s="12"/>
      <c r="Y1082" s="12"/>
      <c r="Z1082" s="12"/>
      <c r="AA1082" s="12"/>
    </row>
    <row r="1083" spans="1:29" x14ac:dyDescent="0.2">
      <c r="A1083" s="1" t="s">
        <v>147</v>
      </c>
      <c r="B1083" s="103">
        <f>IF(AND('AES Indiana Bill Calc.'!$D$17="HL3",'AES Indiana Bill Calc.'!$D$18="No",'AES Indiana Bill Calc.'!$D$20="Yes 2024"),'AES Indiana Bill Calc.'!$D$19,-1)</f>
        <v>-1</v>
      </c>
      <c r="C1083" s="103">
        <f>MAX(E1083,$C$769)</f>
        <v>2000</v>
      </c>
      <c r="D1083" s="103" t="b">
        <f>IF(AND('AES Indiana Bill Calc.'!$D$17="HL3",'AES Indiana Bill Calc.'!$D$18="No",'AES Indiana Bill Calc.'!$D$20="Yes 2024"),'AES Indiana Bill Calc.'!$D$22)</f>
        <v>0</v>
      </c>
      <c r="E1083" s="103" t="b">
        <f>IF(AND('AES Indiana Bill Calc.'!$D$17="HL3",'AES Indiana Bill Calc.'!$D$18="No",'AES Indiana Bill Calc.'!$D$20="Yes 2024"),'AES Indiana Bill Calc.'!$D$21)</f>
        <v>0</v>
      </c>
      <c r="F1083" s="36" t="s">
        <v>300</v>
      </c>
      <c r="G1083" s="92" t="e">
        <f>SUM(J1083:M1083,R1083:AA1083)</f>
        <v>#N/A</v>
      </c>
      <c r="H1083" s="19" t="e">
        <f>IF(ISBLANK(B1083),0,+#REF!/B1083)</f>
        <v>#REF!</v>
      </c>
      <c r="J1083" s="51">
        <f>IF(ISBLANK(B1083),0,+J$980)</f>
        <v>500</v>
      </c>
      <c r="K1083" s="17">
        <f>ROUND($B1083*K$980,2)</f>
        <v>-0.04</v>
      </c>
      <c r="L1083" s="17">
        <f>IF(ISBLANK($C1083),0,IF($C1083&lt;$C$981,ROUND($C$981*$L$980,2),IF($C1083&gt;L$981,ROUND(L$981*L$980,2),ROUND($C1083*L$980,2))))</f>
        <v>48180</v>
      </c>
      <c r="M1083" s="17">
        <f>IF($C1083&gt;L$981,ROUND(($C1083-L$981)*M$980,2),0)</f>
        <v>0</v>
      </c>
      <c r="N1083" s="17">
        <f>K1083</f>
        <v>-0.04</v>
      </c>
      <c r="O1083" s="17"/>
      <c r="P1083" s="17"/>
      <c r="Q1083" s="17">
        <f>SUM(L1083:M1083)</f>
        <v>48180</v>
      </c>
      <c r="R1083" s="16" t="e">
        <f>ROUND(SUM(K1083:M1083)*(R1082-1),2)</f>
        <v>#N/A</v>
      </c>
      <c r="S1083" s="17">
        <f>ROUND($B1083*S$980*S1082,2)</f>
        <v>0</v>
      </c>
      <c r="T1083" s="17">
        <f>ROUND($B1083*T$980,2)</f>
        <v>0</v>
      </c>
      <c r="U1083" s="17">
        <f>ROUND($B1083*U$980,2)</f>
        <v>0</v>
      </c>
      <c r="V1083" s="8">
        <f>ROUND($B1083*V$979,2)</f>
        <v>0</v>
      </c>
      <c r="W1083" s="17">
        <f>ROUND($B1083*W$980,2)</f>
        <v>0</v>
      </c>
      <c r="X1083" s="17">
        <f>ROUND($B1083*X$980,2)</f>
        <v>0</v>
      </c>
      <c r="Y1083" s="17">
        <f>ROUND($B1083*Y$980,2)</f>
        <v>0</v>
      </c>
      <c r="Z1083" s="17">
        <f>ROUND($B1083*Z$980,2)</f>
        <v>0</v>
      </c>
      <c r="AA1083" s="17">
        <f>ROUND($B1083*AA$980,2)</f>
        <v>0</v>
      </c>
      <c r="AB1083" s="19">
        <f>SUM(U$980:AA$980)+(-V$980+V1067)</f>
        <v>2.3699999999999997E-3</v>
      </c>
      <c r="AC1083" s="67" t="str">
        <f>+F1083</f>
        <v>HL34</v>
      </c>
    </row>
    <row r="1084" spans="1:29" s="167" customFormat="1" x14ac:dyDescent="0.2">
      <c r="A1084" s="1"/>
      <c r="B1084" s="103">
        <v>-1</v>
      </c>
      <c r="C1084" s="103"/>
      <c r="D1084" s="103"/>
      <c r="E1084" s="103"/>
      <c r="F1084" s="173"/>
      <c r="G1084" s="92"/>
      <c r="H1084" s="170"/>
      <c r="J1084" s="51"/>
      <c r="K1084" s="17"/>
      <c r="L1084" s="17"/>
      <c r="M1084" s="17"/>
      <c r="N1084" s="17"/>
      <c r="O1084" s="17"/>
      <c r="P1084" s="17"/>
      <c r="Q1084" s="17"/>
      <c r="R1084" s="16"/>
      <c r="S1084" s="17"/>
      <c r="T1084" s="17"/>
      <c r="U1084" s="17"/>
      <c r="V1084" s="8"/>
      <c r="W1084" s="17"/>
      <c r="X1084" s="17"/>
      <c r="Y1084" s="17"/>
      <c r="Z1084" s="17"/>
      <c r="AA1084" s="17"/>
      <c r="AB1084" s="170"/>
      <c r="AC1084" s="67"/>
    </row>
    <row r="1085" spans="1:29" x14ac:dyDescent="0.2">
      <c r="B1085" s="103">
        <v>-1</v>
      </c>
      <c r="C1085" s="9"/>
      <c r="D1085" s="8"/>
      <c r="S1085" s="6"/>
      <c r="T1085" s="6"/>
      <c r="U1085" s="6"/>
      <c r="V1085" s="27" t="s">
        <v>254</v>
      </c>
      <c r="W1085" s="6"/>
      <c r="AB1085" s="19"/>
    </row>
    <row r="1086" spans="1:29" x14ac:dyDescent="0.2">
      <c r="B1086" s="103">
        <v>-1</v>
      </c>
      <c r="C1086" s="9"/>
      <c r="D1086" s="8"/>
      <c r="F1086" s="70"/>
      <c r="G1086" s="70"/>
      <c r="H1086" s="70"/>
      <c r="I1086" s="70"/>
      <c r="J1086" s="161">
        <v>508.21</v>
      </c>
      <c r="K1086" s="162">
        <v>6.021E-2</v>
      </c>
      <c r="L1086" s="161">
        <v>15.06</v>
      </c>
      <c r="M1086" s="161">
        <v>15.06</v>
      </c>
      <c r="N1086" s="72"/>
      <c r="O1086" s="72"/>
      <c r="P1086" s="72"/>
      <c r="Q1086" s="72"/>
      <c r="R1086" s="5"/>
      <c r="S1086" s="27">
        <f>S980</f>
        <v>3.0000000000000001E-3</v>
      </c>
      <c r="T1086" s="27">
        <f>T980</f>
        <v>-3.4320000000000002E-3</v>
      </c>
      <c r="U1086" s="19">
        <f>$S$30</f>
        <v>1.305E-3</v>
      </c>
      <c r="V1086" s="27">
        <f>$T$16</f>
        <v>-4.3999999999999999E-5</v>
      </c>
      <c r="W1086" s="27">
        <v>0</v>
      </c>
      <c r="X1086" s="27">
        <f>+X980</f>
        <v>2.5569999999999998E-3</v>
      </c>
      <c r="Y1086" s="27">
        <f>+Y980</f>
        <v>-1.771E-3</v>
      </c>
      <c r="Z1086" s="27">
        <f>+Z980</f>
        <v>6.2500000000000001E-4</v>
      </c>
      <c r="AA1086" s="27">
        <f>+AA980</f>
        <v>-3.4600000000000001E-4</v>
      </c>
      <c r="AB1086" s="19">
        <f>SUM(V1086:Z1086)</f>
        <v>1.3669999999999997E-3</v>
      </c>
    </row>
    <row r="1087" spans="1:29" x14ac:dyDescent="0.2">
      <c r="A1087" s="1"/>
      <c r="B1087" s="103">
        <v>-1</v>
      </c>
      <c r="C1087" s="9"/>
      <c r="D1087" s="8"/>
      <c r="F1087" s="70"/>
      <c r="G1087" s="70"/>
      <c r="H1087" s="70"/>
      <c r="I1087" s="70"/>
      <c r="J1087" s="70"/>
      <c r="K1087" s="70"/>
      <c r="L1087" s="73">
        <v>4000</v>
      </c>
      <c r="M1087" s="70"/>
      <c r="N1087" s="70"/>
      <c r="O1087" s="70"/>
      <c r="P1087" s="70"/>
      <c r="Q1087" s="70"/>
    </row>
    <row r="1088" spans="1:29" x14ac:dyDescent="0.2">
      <c r="B1088" s="103">
        <v>-1</v>
      </c>
      <c r="C1088" s="9"/>
      <c r="D1088" s="8"/>
      <c r="F1088" s="12"/>
      <c r="J1088" s="12" t="s">
        <v>137</v>
      </c>
      <c r="K1088" s="12" t="s">
        <v>197</v>
      </c>
      <c r="L1088" s="204" t="s">
        <v>30</v>
      </c>
      <c r="M1088" s="204"/>
      <c r="N1088" s="12"/>
      <c r="O1088" s="12"/>
      <c r="P1088" s="12"/>
      <c r="Q1088" s="143" t="s">
        <v>173</v>
      </c>
      <c r="R1088" s="12" t="s">
        <v>196</v>
      </c>
      <c r="S1088" s="12">
        <v>21</v>
      </c>
      <c r="T1088" s="12">
        <v>6</v>
      </c>
      <c r="U1088" s="12">
        <v>3</v>
      </c>
      <c r="V1088" s="12">
        <v>22</v>
      </c>
      <c r="W1088" s="12">
        <v>13</v>
      </c>
      <c r="X1088" s="12">
        <v>20</v>
      </c>
      <c r="Y1088" s="12">
        <v>24</v>
      </c>
      <c r="Z1088" s="12">
        <v>25</v>
      </c>
      <c r="AA1088" s="12">
        <v>26</v>
      </c>
    </row>
    <row r="1089" spans="1:29" x14ac:dyDescent="0.2">
      <c r="A1089" s="13"/>
      <c r="B1089" s="103">
        <v>-1</v>
      </c>
      <c r="C1089" s="99" t="s">
        <v>209</v>
      </c>
      <c r="D1089" s="100" t="s">
        <v>210</v>
      </c>
      <c r="E1089" s="130" t="s">
        <v>199</v>
      </c>
      <c r="F1089" s="13" t="s">
        <v>141</v>
      </c>
      <c r="G1089" s="13" t="s">
        <v>142</v>
      </c>
      <c r="H1089" s="13" t="s">
        <v>143</v>
      </c>
      <c r="J1089" s="13" t="s">
        <v>144</v>
      </c>
      <c r="K1089" s="13" t="s">
        <v>144</v>
      </c>
      <c r="L1089" s="13" t="s">
        <v>232</v>
      </c>
      <c r="M1089" s="13" t="s">
        <v>233</v>
      </c>
      <c r="N1089" s="143" t="s">
        <v>138</v>
      </c>
      <c r="O1089" s="13"/>
      <c r="P1089" s="13"/>
      <c r="Q1089" s="13"/>
      <c r="R1089" s="13" t="s">
        <v>201</v>
      </c>
      <c r="S1089" s="13" t="s">
        <v>106</v>
      </c>
      <c r="T1089" s="13" t="s">
        <v>36</v>
      </c>
      <c r="U1089" s="139" t="s">
        <v>38</v>
      </c>
      <c r="V1089" s="13" t="s">
        <v>107</v>
      </c>
      <c r="W1089" s="13" t="s">
        <v>108</v>
      </c>
      <c r="X1089" s="13" t="s">
        <v>109</v>
      </c>
      <c r="Y1089" s="139" t="s">
        <v>44</v>
      </c>
      <c r="Z1089" s="139" t="s">
        <v>46</v>
      </c>
      <c r="AA1089" s="139" t="s">
        <v>48</v>
      </c>
      <c r="AB1089" s="66" t="s">
        <v>110</v>
      </c>
    </row>
    <row r="1090" spans="1:29" x14ac:dyDescent="0.2">
      <c r="B1090" s="103">
        <v>-1</v>
      </c>
      <c r="C1090" s="9"/>
      <c r="D1090" s="8"/>
      <c r="F1090" s="36"/>
      <c r="G1090" s="17"/>
      <c r="H1090" s="19"/>
      <c r="J1090" s="8"/>
      <c r="K1090" s="17"/>
      <c r="L1090" s="17"/>
      <c r="M1090" s="17"/>
      <c r="N1090" s="17"/>
      <c r="O1090" s="17"/>
      <c r="P1090" s="17"/>
      <c r="Q1090" s="17"/>
      <c r="R1090" s="38" t="e">
        <f>VLOOKUP((D1091),'Pwr Factor'!$A$1:$B$52,2)</f>
        <v>#N/A</v>
      </c>
      <c r="S1090" s="50">
        <v>1</v>
      </c>
      <c r="T1090" s="17"/>
      <c r="U1090" s="17"/>
      <c r="V1090" s="17"/>
      <c r="W1090" s="17"/>
      <c r="X1090" s="17"/>
      <c r="Y1090" s="17"/>
      <c r="Z1090" s="17"/>
      <c r="AA1090" s="17"/>
    </row>
    <row r="1091" spans="1:29" x14ac:dyDescent="0.2">
      <c r="A1091" s="1" t="s">
        <v>148</v>
      </c>
      <c r="B1091" s="103">
        <f>IF(AND('AES Indiana Bill Calc.'!$D$17="HL4",'AES Indiana Bill Calc.'!$D$18="Yes 100%",'AES Indiana Bill Calc.'!$D$20="No"),'AES Indiana Bill Calc.'!$D$19,-1)</f>
        <v>-1</v>
      </c>
      <c r="C1091" s="103">
        <f>MAX(E1091,$C$769)</f>
        <v>2000</v>
      </c>
      <c r="D1091" s="103" t="b">
        <f>IF(AND('AES Indiana Bill Calc.'!$D$17="HL4",'AES Indiana Bill Calc.'!$D$18="Yes 100%",'AES Indiana Bill Calc.'!$D$20="No"),'AES Indiana Bill Calc.'!$D$22)</f>
        <v>0</v>
      </c>
      <c r="E1091" s="103" t="b">
        <f>IF(AND('AES Indiana Bill Calc.'!$D$17="HL4",'AES Indiana Bill Calc.'!$D$18="Yes 100%",'AES Indiana Bill Calc.'!$D$20="No"),'AES Indiana Bill Calc.'!$D$21)</f>
        <v>0</v>
      </c>
      <c r="F1091" s="36" t="s">
        <v>71</v>
      </c>
      <c r="G1091" s="92" t="e">
        <f>SUM(J1091:M1091,R1091:AA1091)</f>
        <v>#N/A</v>
      </c>
      <c r="H1091" s="19" t="e">
        <f>IF(ISBLANK(B1091),0,+#REF!/B1091)</f>
        <v>#REF!</v>
      </c>
      <c r="J1091" s="51">
        <f>IF(ISBLANK(B1091),0,+J$980)</f>
        <v>500</v>
      </c>
      <c r="K1091" s="17">
        <f>ROUND($B1091*K$1086,2)</f>
        <v>-0.06</v>
      </c>
      <c r="L1091" s="17">
        <f>IF(ISBLANK($C1091),0,IF($C1091&lt;$C$981,ROUND($C$981*$L$1086,2),IF($C1091&gt;L$1087,ROUND(L$1087*L$1086,2),ROUND($C1091*L$1086,2))))</f>
        <v>30120</v>
      </c>
      <c r="M1091" s="17">
        <f>IF($C1091&gt;L$877,ROUND(($C1091-L$877)*M$876,2),0)</f>
        <v>0</v>
      </c>
      <c r="N1091" s="17">
        <f>K1091</f>
        <v>-0.06</v>
      </c>
      <c r="O1091" s="17"/>
      <c r="P1091" s="17"/>
      <c r="Q1091" s="17">
        <f>SUM(L1091:M1091)</f>
        <v>30120</v>
      </c>
      <c r="R1091" s="16" t="e">
        <f>ROUND(SUM(K1091:M1091)*(R1090-1),2)</f>
        <v>#N/A</v>
      </c>
      <c r="S1091" s="17">
        <f>ROUND($B1091*S$980*S1090,2)</f>
        <v>0</v>
      </c>
      <c r="T1091" s="17">
        <f>ROUND($B1091*T$1086,2)</f>
        <v>0</v>
      </c>
      <c r="U1091" s="17">
        <f>ROUND($B1091*U$1086,2)</f>
        <v>0</v>
      </c>
      <c r="V1091" s="17">
        <f>ROUND($B1091*V$980,2)</f>
        <v>-0.01</v>
      </c>
      <c r="W1091" s="17">
        <f>ROUND($B1091*W$1086,2)</f>
        <v>0</v>
      </c>
      <c r="X1091" s="17">
        <f>ROUND($B1091*X$1086,2)</f>
        <v>0</v>
      </c>
      <c r="Y1091" s="17">
        <f>ROUND($B1091*Y$1086,2)</f>
        <v>0</v>
      </c>
      <c r="Z1091" s="17">
        <f>ROUND($B1091*Z$1086,2)</f>
        <v>0</v>
      </c>
      <c r="AA1091" s="17">
        <f>ROUND($B1091*AA$1086,2)</f>
        <v>0</v>
      </c>
      <c r="AB1091" s="19">
        <f>SUM(V1033:AA1033)</f>
        <v>0</v>
      </c>
      <c r="AC1091" s="67" t="str">
        <f>+F1091</f>
        <v>HL4</v>
      </c>
    </row>
    <row r="1092" spans="1:29" x14ac:dyDescent="0.2">
      <c r="A1092" s="48"/>
      <c r="B1092" s="103">
        <v>-1</v>
      </c>
      <c r="D1092" s="8"/>
      <c r="E1092" s="9"/>
      <c r="F1092" s="36"/>
      <c r="G1092" s="17"/>
      <c r="H1092" s="19"/>
      <c r="J1092" s="8"/>
      <c r="K1092" s="17"/>
      <c r="L1092" s="17"/>
      <c r="M1092" s="17"/>
      <c r="N1092" s="17"/>
      <c r="O1092" s="17"/>
      <c r="P1092" s="17"/>
      <c r="Q1092" s="17"/>
      <c r="R1092" s="38" t="e">
        <f>VLOOKUP((D1093),'Pwr Factor'!$A$1:$B$52,2)</f>
        <v>#N/A</v>
      </c>
      <c r="S1092" s="50">
        <v>0.5</v>
      </c>
      <c r="T1092" s="17"/>
      <c r="U1092" s="17"/>
      <c r="V1092" s="17"/>
      <c r="W1092" s="17"/>
      <c r="X1092" s="17"/>
      <c r="Y1092" s="17"/>
      <c r="Z1092" s="17"/>
      <c r="AA1092" s="17"/>
    </row>
    <row r="1093" spans="1:29" x14ac:dyDescent="0.2">
      <c r="A1093" s="1" t="s">
        <v>149</v>
      </c>
      <c r="B1093" s="103">
        <f>IF(AND('AES Indiana Bill Calc.'!$D$17="HL4",'AES Indiana Bill Calc.'!$D$18="Yes 50%",'AES Indiana Bill Calc.'!$D$20="No"),'AES Indiana Bill Calc.'!$D$19,-1)</f>
        <v>-1</v>
      </c>
      <c r="C1093" s="103">
        <f>MAX(E1093,$C$769)</f>
        <v>2000</v>
      </c>
      <c r="D1093" s="103" t="b">
        <f>IF(AND('AES Indiana Bill Calc.'!$D$17="HL4",'AES Indiana Bill Calc.'!$D$18="Yes 50%",'AES Indiana Bill Calc.'!$D$20="No"),'AES Indiana Bill Calc.'!$D$22)</f>
        <v>0</v>
      </c>
      <c r="E1093" s="103" t="b">
        <f>IF(AND('AES Indiana Bill Calc.'!$D$17="HL4",'AES Indiana Bill Calc.'!$D$18="Yes 50%",'AES Indiana Bill Calc.'!$D$20="No"),'AES Indiana Bill Calc.'!$D$21)</f>
        <v>0</v>
      </c>
      <c r="F1093" s="36" t="s">
        <v>71</v>
      </c>
      <c r="G1093" s="92" t="e">
        <f>SUM(J1093:M1093,R1093:AA1093)</f>
        <v>#N/A</v>
      </c>
      <c r="H1093" s="19" t="e">
        <f>IF(ISBLANK(B1093),0,+#REF!/B1093)</f>
        <v>#REF!</v>
      </c>
      <c r="J1093" s="51">
        <f>IF(ISBLANK(B1093),0,+J$980)</f>
        <v>500</v>
      </c>
      <c r="K1093" s="17">
        <f>ROUND($B1093*K$1086,2)</f>
        <v>-0.06</v>
      </c>
      <c r="L1093" s="17">
        <f>IF(ISBLANK($C1093),0,IF($C1093&lt;$C$981,ROUND($C$981*$L$1086,2),IF($C1093&gt;L$1087,ROUND(L$1087*L$1086,2),ROUND($C1093*L$1086,2))))</f>
        <v>30120</v>
      </c>
      <c r="M1093" s="17">
        <f>IF($C1093&gt;L$877,ROUND(($C1093-L$877)*M$876,2),0)</f>
        <v>0</v>
      </c>
      <c r="N1093" s="17">
        <f>K1093</f>
        <v>-0.06</v>
      </c>
      <c r="O1093" s="17"/>
      <c r="P1093" s="17"/>
      <c r="Q1093" s="17">
        <f>SUM(L1093:M1093)</f>
        <v>30120</v>
      </c>
      <c r="R1093" s="16" t="e">
        <f>ROUND(SUM(K1093:M1093)*(R1092-1),2)</f>
        <v>#N/A</v>
      </c>
      <c r="S1093" s="17">
        <f>ROUND($B1093*S$980*S1092,2)</f>
        <v>0</v>
      </c>
      <c r="T1093" s="17">
        <f>ROUND($B1093*T$1086,2)</f>
        <v>0</v>
      </c>
      <c r="U1093" s="17">
        <f>ROUND($B1093*U$1086,2)</f>
        <v>0</v>
      </c>
      <c r="V1093" s="17">
        <f>ROUND($B1093*V$980,2)</f>
        <v>-0.01</v>
      </c>
      <c r="W1093" s="17">
        <f>ROUND($B1093*W$1086,2)</f>
        <v>0</v>
      </c>
      <c r="X1093" s="17">
        <f>ROUND($B1093*X$1086,2)</f>
        <v>0</v>
      </c>
      <c r="Y1093" s="17">
        <f>ROUND($B1093*Y$1086,2)</f>
        <v>0</v>
      </c>
      <c r="Z1093" s="17">
        <f>ROUND($B1093*Z$1086,2)</f>
        <v>0</v>
      </c>
      <c r="AA1093" s="17">
        <f>ROUND($B1093*AA$1086,2)</f>
        <v>0</v>
      </c>
      <c r="AB1093" s="19">
        <f>SUM(V1035:AA1035)</f>
        <v>0</v>
      </c>
      <c r="AC1093" s="67" t="str">
        <f>+F1093</f>
        <v>HL4</v>
      </c>
    </row>
    <row r="1094" spans="1:29" x14ac:dyDescent="0.2">
      <c r="A1094" s="9"/>
      <c r="B1094" s="103">
        <v>-1</v>
      </c>
      <c r="D1094" s="8"/>
      <c r="E1094" s="9"/>
      <c r="F1094" s="36"/>
      <c r="G1094" s="17"/>
      <c r="H1094" s="19"/>
      <c r="J1094" s="8"/>
      <c r="K1094" s="17"/>
      <c r="L1094" s="17"/>
      <c r="M1094" s="17"/>
      <c r="N1094" s="17"/>
      <c r="O1094" s="17"/>
      <c r="P1094" s="17"/>
      <c r="Q1094" s="17"/>
      <c r="R1094" s="38" t="e">
        <f>VLOOKUP((D1095),'Pwr Factor'!$A$1:$B$52,2)</f>
        <v>#N/A</v>
      </c>
      <c r="S1094" s="50">
        <v>0.25</v>
      </c>
      <c r="T1094" s="17"/>
      <c r="U1094" s="17"/>
      <c r="V1094" s="17"/>
      <c r="W1094" s="17"/>
      <c r="X1094" s="17"/>
      <c r="Y1094" s="17"/>
      <c r="Z1094" s="17"/>
      <c r="AA1094" s="17"/>
    </row>
    <row r="1095" spans="1:29" x14ac:dyDescent="0.2">
      <c r="A1095" s="1" t="s">
        <v>150</v>
      </c>
      <c r="B1095" s="103">
        <f>IF(AND('AES Indiana Bill Calc.'!$D$17="HL4",'AES Indiana Bill Calc.'!$D$18="Yes 25%",'AES Indiana Bill Calc.'!$D$20="No"),'AES Indiana Bill Calc.'!$D$19,-1)</f>
        <v>-1</v>
      </c>
      <c r="C1095" s="103">
        <f>MAX(E1095,$C$769)</f>
        <v>2000</v>
      </c>
      <c r="D1095" s="103" t="b">
        <f>IF(AND('AES Indiana Bill Calc.'!$D$17="HL4",'AES Indiana Bill Calc.'!$D$18="Yes 25%",'AES Indiana Bill Calc.'!$D$20="No"),'AES Indiana Bill Calc.'!$D$22)</f>
        <v>0</v>
      </c>
      <c r="E1095" s="103" t="b">
        <f>IF(AND('AES Indiana Bill Calc.'!$D$17="HL4",'AES Indiana Bill Calc.'!$D$18="Yes 25%",'AES Indiana Bill Calc.'!$D$20="No"),'AES Indiana Bill Calc.'!$D$21)</f>
        <v>0</v>
      </c>
      <c r="F1095" s="36" t="s">
        <v>71</v>
      </c>
      <c r="G1095" s="92" t="e">
        <f>SUM(J1095:M1095,R1095:AA1095)</f>
        <v>#N/A</v>
      </c>
      <c r="H1095" s="19" t="e">
        <f>IF(ISBLANK(B1095),0,+#REF!/B1095)</f>
        <v>#REF!</v>
      </c>
      <c r="J1095" s="51">
        <f>IF(ISBLANK(B1095),0,+J$980)</f>
        <v>500</v>
      </c>
      <c r="K1095" s="17">
        <f>ROUND($B1095*K$1086,2)</f>
        <v>-0.06</v>
      </c>
      <c r="L1095" s="17">
        <f>IF(ISBLANK($C1095),0,IF($C1095&lt;$C$981,ROUND($C$981*$L$1086,2),IF($C1095&gt;L$1087,ROUND(L$1087*L$1086,2),ROUND($C1095*L$1086,2))))</f>
        <v>30120</v>
      </c>
      <c r="M1095" s="17">
        <f>IF($C1095&gt;L$877,ROUND(($C1095-L$877)*M$876,2),0)</f>
        <v>0</v>
      </c>
      <c r="N1095" s="17">
        <f>K1095</f>
        <v>-0.06</v>
      </c>
      <c r="O1095" s="17"/>
      <c r="P1095" s="17"/>
      <c r="Q1095" s="17">
        <f>SUM(L1095:M1095)</f>
        <v>30120</v>
      </c>
      <c r="R1095" s="16" t="e">
        <f>ROUND(SUM(K1095:M1095)*(R1094-1),2)</f>
        <v>#N/A</v>
      </c>
      <c r="S1095" s="17">
        <f>ROUND($B1095*S$980*S1094,2)</f>
        <v>0</v>
      </c>
      <c r="T1095" s="17">
        <f>ROUND($B1095*T$1086,2)</f>
        <v>0</v>
      </c>
      <c r="U1095" s="17">
        <f>ROUND($B1095*U$1086,2)</f>
        <v>0</v>
      </c>
      <c r="V1095" s="17">
        <f>ROUND($B1095*V$980,2)</f>
        <v>-0.01</v>
      </c>
      <c r="W1095" s="17">
        <f>ROUND($B1095*W$1086,2)</f>
        <v>0</v>
      </c>
      <c r="X1095" s="17">
        <f>ROUND($B1095*X$1086,2)</f>
        <v>0</v>
      </c>
      <c r="Y1095" s="17">
        <f>ROUND($B1095*Y$1086,2)</f>
        <v>0</v>
      </c>
      <c r="Z1095" s="17">
        <f>ROUND($B1095*Z$1086,2)</f>
        <v>0</v>
      </c>
      <c r="AA1095" s="17">
        <f>ROUND($B1095*AA$1086,2)</f>
        <v>0</v>
      </c>
      <c r="AB1095" s="19">
        <f>SUM(V1037:AA1037)</f>
        <v>0</v>
      </c>
      <c r="AC1095" s="67" t="str">
        <f>+F1095</f>
        <v>HL4</v>
      </c>
    </row>
    <row r="1096" spans="1:29" x14ac:dyDescent="0.2">
      <c r="A1096" s="9"/>
      <c r="B1096" s="103">
        <v>-1</v>
      </c>
      <c r="D1096" s="8"/>
      <c r="E1096" s="9"/>
      <c r="F1096" s="36"/>
      <c r="G1096" s="17"/>
      <c r="H1096" s="19"/>
      <c r="J1096" s="8"/>
      <c r="K1096" s="17"/>
      <c r="L1096" s="17"/>
      <c r="M1096" s="17"/>
      <c r="N1096" s="17"/>
      <c r="O1096" s="17"/>
      <c r="P1096" s="17"/>
      <c r="Q1096" s="17"/>
      <c r="R1096" s="38" t="e">
        <f>VLOOKUP((D1097),'Pwr Factor'!$A$1:$B$52,2)</f>
        <v>#N/A</v>
      </c>
      <c r="S1096" s="50">
        <v>0.1</v>
      </c>
      <c r="T1096" s="17"/>
      <c r="U1096" s="17"/>
      <c r="V1096" s="17"/>
      <c r="W1096" s="17"/>
      <c r="X1096" s="17"/>
      <c r="Y1096" s="17"/>
      <c r="Z1096" s="17"/>
      <c r="AA1096" s="17"/>
    </row>
    <row r="1097" spans="1:29" x14ac:dyDescent="0.2">
      <c r="A1097" s="1" t="s">
        <v>164</v>
      </c>
      <c r="B1097" s="103">
        <f>IF(AND('AES Indiana Bill Calc.'!$D$17="HL4",'AES Indiana Bill Calc.'!$D$18="Yes 10%",'AES Indiana Bill Calc.'!$D$20="No"),'AES Indiana Bill Calc.'!$D$19,-1)</f>
        <v>-1</v>
      </c>
      <c r="C1097" s="103">
        <f>MAX(E1097,$C$769)</f>
        <v>2000</v>
      </c>
      <c r="D1097" s="103" t="b">
        <f>IF(AND('AES Indiana Bill Calc.'!$D$17="HL4",'AES Indiana Bill Calc.'!$D$18="Yes 10%",'AES Indiana Bill Calc.'!$D$20="No"),'AES Indiana Bill Calc.'!$D$22)</f>
        <v>0</v>
      </c>
      <c r="E1097" s="103" t="b">
        <f>IF(AND('AES Indiana Bill Calc.'!$D$17="HL4",'AES Indiana Bill Calc.'!$D$18="Yes 10%",'AES Indiana Bill Calc.'!$D$20="No"),'AES Indiana Bill Calc.'!$D$21)</f>
        <v>0</v>
      </c>
      <c r="F1097" s="36" t="s">
        <v>71</v>
      </c>
      <c r="G1097" s="92" t="e">
        <f>SUM(J1097:M1097,R1097:AA1097)</f>
        <v>#N/A</v>
      </c>
      <c r="H1097" s="19" t="e">
        <f>IF(ISBLANK(B1097),0,+#REF!/B1097)</f>
        <v>#REF!</v>
      </c>
      <c r="J1097" s="51">
        <f>IF(ISBLANK(B1097),0,+J$980)</f>
        <v>500</v>
      </c>
      <c r="K1097" s="17">
        <f>ROUND($B1097*K$1086,2)</f>
        <v>-0.06</v>
      </c>
      <c r="L1097" s="17">
        <f>IF(ISBLANK($C1097),0,IF($C1097&lt;$C$981,ROUND($C$981*$L$1086,2),IF($C1097&gt;L$1087,ROUND(L$1087*L$1086,2),ROUND($C1097*L$1086,2))))</f>
        <v>30120</v>
      </c>
      <c r="M1097" s="17">
        <f>IF($C1097&gt;L$877,ROUND(($C1097-L$877)*M$876,2),0)</f>
        <v>0</v>
      </c>
      <c r="N1097" s="17">
        <f>K1097</f>
        <v>-0.06</v>
      </c>
      <c r="O1097" s="17"/>
      <c r="P1097" s="17"/>
      <c r="Q1097" s="17">
        <f>SUM(L1097:M1097)</f>
        <v>30120</v>
      </c>
      <c r="R1097" s="16" t="e">
        <f>ROUND(SUM(K1097:M1097)*(R1096-1),2)</f>
        <v>#N/A</v>
      </c>
      <c r="S1097" s="17">
        <f>ROUND($B1097*S$980*S1096,2)</f>
        <v>0</v>
      </c>
      <c r="T1097" s="17">
        <f>ROUND($B1097*T$1086,2)</f>
        <v>0</v>
      </c>
      <c r="U1097" s="17">
        <f>ROUND($B1097*U$1086,2)</f>
        <v>0</v>
      </c>
      <c r="V1097" s="17">
        <f>ROUND($B1097*V$980,2)</f>
        <v>-0.01</v>
      </c>
      <c r="W1097" s="17">
        <f>ROUND($B1097*W$1086,2)</f>
        <v>0</v>
      </c>
      <c r="X1097" s="17">
        <f>ROUND($B1097*X$1086,2)</f>
        <v>0</v>
      </c>
      <c r="Y1097" s="17">
        <f>ROUND($B1097*Y$1086,2)</f>
        <v>0</v>
      </c>
      <c r="Z1097" s="17">
        <f>ROUND($B1097*Z$1086,2)</f>
        <v>0</v>
      </c>
      <c r="AA1097" s="17">
        <f>ROUND($B1097*AA$1086,2)</f>
        <v>0</v>
      </c>
      <c r="AB1097" s="19">
        <f>SUM(V1039:AA1039)</f>
        <v>0</v>
      </c>
      <c r="AC1097" s="67" t="str">
        <f>+F1097</f>
        <v>HL4</v>
      </c>
    </row>
    <row r="1098" spans="1:29" x14ac:dyDescent="0.2">
      <c r="A1098" s="9"/>
      <c r="B1098" s="103">
        <v>-1</v>
      </c>
      <c r="D1098" s="8"/>
      <c r="E1098" s="9"/>
      <c r="F1098" s="36"/>
      <c r="G1098" s="17"/>
      <c r="H1098" s="19"/>
      <c r="J1098" s="8"/>
      <c r="K1098" s="17"/>
      <c r="L1098" s="17"/>
      <c r="M1098" s="17"/>
      <c r="N1098" s="17"/>
      <c r="O1098" s="17"/>
      <c r="P1098" s="17"/>
      <c r="Q1098" s="17"/>
      <c r="R1098" s="38" t="e">
        <f>VLOOKUP((D1099),'Pwr Factor'!$A$1:$B$52,2)</f>
        <v>#N/A</v>
      </c>
      <c r="S1098" s="50">
        <v>0</v>
      </c>
      <c r="T1098" s="17"/>
      <c r="U1098" s="17"/>
      <c r="V1098" s="17"/>
      <c r="W1098" s="17"/>
      <c r="X1098" s="17"/>
      <c r="Y1098" s="17"/>
      <c r="Z1098" s="17"/>
      <c r="AA1098" s="17"/>
    </row>
    <row r="1099" spans="1:29" x14ac:dyDescent="0.2">
      <c r="A1099" s="1" t="s">
        <v>147</v>
      </c>
      <c r="B1099" s="103">
        <f>IF(AND('AES Indiana Bill Calc.'!$D$17="HL4",'AES Indiana Bill Calc.'!$D$18="No",'AES Indiana Bill Calc.'!$D$20="No"),'AES Indiana Bill Calc.'!$D$19,-1)</f>
        <v>-1</v>
      </c>
      <c r="C1099" s="103">
        <f>MAX(E1099,$C$769)</f>
        <v>2000</v>
      </c>
      <c r="D1099" s="103" t="b">
        <f>IF(AND('AES Indiana Bill Calc.'!$D$17="HL4",'AES Indiana Bill Calc.'!$D$18="No",'AES Indiana Bill Calc.'!$D$20="No"),'AES Indiana Bill Calc.'!$D$22)</f>
        <v>0</v>
      </c>
      <c r="E1099" s="103" t="b">
        <f>IF(AND('AES Indiana Bill Calc.'!$D$17="HL4",'AES Indiana Bill Calc.'!$D$18="No",'AES Indiana Bill Calc.'!$D$20="No"),'AES Indiana Bill Calc.'!$D$21)</f>
        <v>0</v>
      </c>
      <c r="F1099" s="36" t="s">
        <v>71</v>
      </c>
      <c r="G1099" s="92" t="e">
        <f>SUM(J1099:M1099,R1099:AA1099)</f>
        <v>#N/A</v>
      </c>
      <c r="H1099" s="19" t="e">
        <f>IF(ISBLANK(B1099),0,+#REF!/B1099)</f>
        <v>#REF!</v>
      </c>
      <c r="J1099" s="51">
        <f>IF(ISBLANK(B1099),0,+J$980)</f>
        <v>500</v>
      </c>
      <c r="K1099" s="17">
        <f>ROUND($B1099*K$1086,2)</f>
        <v>-0.06</v>
      </c>
      <c r="L1099" s="17">
        <f>IF(ISBLANK($C1099),0,IF($C1099&lt;$C$981,ROUND($C$981*$L$1086,2),IF($C1099&gt;L$1087,ROUND(L$1087*L$1086,2),ROUND($C1099*L$1086,2))))</f>
        <v>30120</v>
      </c>
      <c r="M1099" s="17">
        <f>IF($C1099&gt;L$877,ROUND(($C1099-L$877)*M$876,2),0)</f>
        <v>0</v>
      </c>
      <c r="N1099" s="17">
        <f>K1099</f>
        <v>-0.06</v>
      </c>
      <c r="O1099" s="17"/>
      <c r="P1099" s="17"/>
      <c r="Q1099" s="17">
        <f>SUM(L1099:M1099)</f>
        <v>30120</v>
      </c>
      <c r="R1099" s="16" t="e">
        <f>ROUND(SUM(K1099:M1099)*(R1098-1),2)</f>
        <v>#N/A</v>
      </c>
      <c r="S1099" s="17">
        <f>ROUND($B1099*S$980*S1098,2)</f>
        <v>0</v>
      </c>
      <c r="T1099" s="17">
        <f>ROUND($B1099*T$1086,2)</f>
        <v>0</v>
      </c>
      <c r="U1099" s="17">
        <f>ROUND($B1099*U$1086,2)</f>
        <v>0</v>
      </c>
      <c r="V1099" s="17">
        <f>ROUND($B1099*V$980,2)</f>
        <v>-0.01</v>
      </c>
      <c r="W1099" s="17">
        <f>ROUND($B1099*W$1086,2)</f>
        <v>0</v>
      </c>
      <c r="X1099" s="17">
        <f>ROUND($B1099*X$1086,2)</f>
        <v>0</v>
      </c>
      <c r="Y1099" s="17">
        <f>ROUND($B1099*Y$1086,2)</f>
        <v>0</v>
      </c>
      <c r="Z1099" s="17">
        <f>ROUND($B1099*Z$1086,2)</f>
        <v>0</v>
      </c>
      <c r="AA1099" s="17">
        <f>ROUND($B1099*AA$1086,2)</f>
        <v>0</v>
      </c>
      <c r="AB1099" s="19">
        <f>SUM(V1041:AA1041)</f>
        <v>0</v>
      </c>
      <c r="AC1099" s="67" t="str">
        <f>+F1099</f>
        <v>HL4</v>
      </c>
    </row>
    <row r="1100" spans="1:29" x14ac:dyDescent="0.2">
      <c r="B1100" s="103">
        <v>-1</v>
      </c>
      <c r="D1100" s="8"/>
      <c r="E1100" s="9"/>
      <c r="F1100" s="36"/>
      <c r="G1100" s="17"/>
      <c r="H1100" s="19"/>
      <c r="J1100" s="8"/>
      <c r="K1100" s="17"/>
      <c r="L1100" s="17"/>
      <c r="M1100" s="17"/>
      <c r="N1100" s="17"/>
      <c r="O1100" s="17"/>
      <c r="P1100" s="17"/>
      <c r="Q1100" s="17"/>
      <c r="R1100" s="38" t="e">
        <f>VLOOKUP((D1101),'Pwr Factor'!$A$1:$B$52,2)</f>
        <v>#N/A</v>
      </c>
      <c r="S1100" s="50">
        <v>1</v>
      </c>
      <c r="T1100" s="17"/>
      <c r="U1100" s="17"/>
      <c r="V1100" s="17"/>
      <c r="W1100" s="17"/>
      <c r="X1100" s="17"/>
      <c r="Y1100" s="17"/>
      <c r="Z1100" s="17"/>
      <c r="AA1100" s="17"/>
    </row>
    <row r="1101" spans="1:29" x14ac:dyDescent="0.2">
      <c r="A1101" s="1" t="s">
        <v>148</v>
      </c>
      <c r="B1101" s="103">
        <f>IF(AND('AES Indiana Bill Calc.'!$D$17="HL4",'AES Indiana Bill Calc.'!$D$18="Yes 100%",'AES Indiana Bill Calc.'!$D$20="Yes Before 2018"),'AES Indiana Bill Calc.'!$D$19,-1)</f>
        <v>-1</v>
      </c>
      <c r="C1101" s="103">
        <f>MAX(E1101,$C$769)</f>
        <v>2000</v>
      </c>
      <c r="D1101" s="103" t="b">
        <f>IF(AND('AES Indiana Bill Calc.'!$D$17="HL4",'AES Indiana Bill Calc.'!$D$18="Yes 100%",'AES Indiana Bill Calc.'!$D$20="Yes Before 2018"),'AES Indiana Bill Calc.'!$D$22)</f>
        <v>0</v>
      </c>
      <c r="E1101" s="103" t="b">
        <f>IF(AND('AES Indiana Bill Calc.'!$D$17="HL4",'AES Indiana Bill Calc.'!$D$18="Yes 100%",'AES Indiana Bill Calc.'!$D$20="Yes Before 2018"),'AES Indiana Bill Calc.'!$D$21)</f>
        <v>0</v>
      </c>
      <c r="F1101" s="36" t="s">
        <v>255</v>
      </c>
      <c r="G1101" s="92" t="e">
        <f>SUM(J1101:M1101,R1101:AA1101)</f>
        <v>#N/A</v>
      </c>
      <c r="H1101" s="19" t="e">
        <f>IF(ISBLANK(B1101),0,+#REF!/B1101)</f>
        <v>#REF!</v>
      </c>
      <c r="J1101" s="51">
        <f>IF(ISBLANK(B1101),0,+J$980)</f>
        <v>500</v>
      </c>
      <c r="K1101" s="17">
        <f>ROUND($B1101*K$1086,2)</f>
        <v>-0.06</v>
      </c>
      <c r="L1101" s="17">
        <f>IF(ISBLANK($C1101),0,IF($C1101&lt;$C$981,ROUND($C$981*$L$1086,2),IF($C1101&gt;L$1087,ROUND(L$1087*L$1086,2),ROUND($C1101*L$1086,2))))</f>
        <v>30120</v>
      </c>
      <c r="M1101" s="17">
        <f>IF($C1101&gt;L$877,ROUND(($C1101-L$877)*M$876,2),0)</f>
        <v>0</v>
      </c>
      <c r="N1101" s="17">
        <f>K1101</f>
        <v>-0.06</v>
      </c>
      <c r="O1101" s="17"/>
      <c r="P1101" s="17"/>
      <c r="Q1101" s="17">
        <f>SUM(L1101:M1101)</f>
        <v>30120</v>
      </c>
      <c r="R1101" s="16" t="e">
        <f>ROUND(SUM(K1101:M1101)*(R1100-1),2)</f>
        <v>#N/A</v>
      </c>
      <c r="S1101" s="17">
        <f>ROUND($B1101*S$980*S1100,2)</f>
        <v>0</v>
      </c>
      <c r="T1101" s="17">
        <f>ROUND($B1101*T$1086,2)</f>
        <v>0</v>
      </c>
      <c r="U1101" s="17">
        <f>ROUND($B1101*U$1086,2)</f>
        <v>0</v>
      </c>
      <c r="V1101" s="17">
        <f>ROUND($B1101*V$972,2)</f>
        <v>0</v>
      </c>
      <c r="W1101" s="17">
        <f>ROUND($B1101*W$1086,2)</f>
        <v>0</v>
      </c>
      <c r="X1101" s="17">
        <f>ROUND($B1101*X$1086,2)</f>
        <v>0</v>
      </c>
      <c r="Y1101" s="17">
        <f>ROUND($B1101*Y$1086,2)</f>
        <v>0</v>
      </c>
      <c r="Z1101" s="17">
        <f>ROUND($B1101*Z$1086,2)</f>
        <v>0</v>
      </c>
      <c r="AA1101" s="17">
        <f>ROUND($B1101*AA$1086,2)</f>
        <v>0</v>
      </c>
      <c r="AB1101" s="19">
        <f>SUM(V1043:AA1043)</f>
        <v>0</v>
      </c>
      <c r="AC1101" s="67" t="str">
        <f>+F1101</f>
        <v>HL47</v>
      </c>
    </row>
    <row r="1102" spans="1:29" x14ac:dyDescent="0.2">
      <c r="A1102" s="48"/>
      <c r="B1102" s="103">
        <v>-1</v>
      </c>
      <c r="D1102" s="8"/>
      <c r="E1102" s="9"/>
      <c r="F1102" s="36"/>
      <c r="G1102" s="17"/>
      <c r="H1102" s="19"/>
      <c r="J1102" s="8"/>
      <c r="K1102" s="17"/>
      <c r="L1102" s="17"/>
      <c r="M1102" s="17"/>
      <c r="N1102" s="17"/>
      <c r="O1102" s="17"/>
      <c r="P1102" s="17"/>
      <c r="Q1102" s="17"/>
      <c r="R1102" s="38" t="e">
        <f>VLOOKUP((D1103),'Pwr Factor'!$A$1:$B$52,2)</f>
        <v>#N/A</v>
      </c>
      <c r="S1102" s="50">
        <v>0.5</v>
      </c>
      <c r="T1102" s="17"/>
      <c r="U1102" s="17"/>
      <c r="V1102" s="17"/>
      <c r="W1102" s="17"/>
      <c r="X1102" s="17"/>
      <c r="Y1102" s="17"/>
      <c r="Z1102" s="17"/>
      <c r="AA1102" s="17"/>
    </row>
    <row r="1103" spans="1:29" x14ac:dyDescent="0.2">
      <c r="A1103" s="1" t="s">
        <v>149</v>
      </c>
      <c r="B1103" s="103">
        <f>IF(AND('AES Indiana Bill Calc.'!$D$17="HL4",'AES Indiana Bill Calc.'!$D$18="Yes 50%",'AES Indiana Bill Calc.'!$D$20="Yes Before 2018"),'AES Indiana Bill Calc.'!$D$19,-1)</f>
        <v>-1</v>
      </c>
      <c r="C1103" s="103">
        <f>MAX(E1103,$C$769)</f>
        <v>2000</v>
      </c>
      <c r="D1103" s="103" t="b">
        <f>IF(AND('AES Indiana Bill Calc.'!$D$17="HL4",'AES Indiana Bill Calc.'!$D$18="Yes 50%",'AES Indiana Bill Calc.'!$D$20="Yes Before 2018"),'AES Indiana Bill Calc.'!$D$22)</f>
        <v>0</v>
      </c>
      <c r="E1103" s="103" t="b">
        <f>IF(AND('AES Indiana Bill Calc.'!$D$17="HL4",'AES Indiana Bill Calc.'!$D$18="Yes 50%",'AES Indiana Bill Calc.'!$D$20="Yes Before 2018"),'AES Indiana Bill Calc.'!$D$21)</f>
        <v>0</v>
      </c>
      <c r="F1103" s="36" t="s">
        <v>255</v>
      </c>
      <c r="G1103" s="92" t="e">
        <f>SUM(J1103:M1103,R1103:AA1103)</f>
        <v>#N/A</v>
      </c>
      <c r="H1103" s="19" t="e">
        <f>IF(ISBLANK(B1103),0,+#REF!/B1103)</f>
        <v>#REF!</v>
      </c>
      <c r="J1103" s="51">
        <f>IF(ISBLANK(B1103),0,+J$980)</f>
        <v>500</v>
      </c>
      <c r="K1103" s="17">
        <f>ROUND($B1103*K$1086,2)</f>
        <v>-0.06</v>
      </c>
      <c r="L1103" s="17">
        <f>IF(ISBLANK($C1103),0,IF($C1103&lt;$C$981,ROUND($C$981*$L$1086,2),IF($C1103&gt;L$1087,ROUND(L$1087*L$1086,2),ROUND($C1103*L$1086,2))))</f>
        <v>30120</v>
      </c>
      <c r="M1103" s="17">
        <f>IF($C1103&gt;L$877,ROUND(($C1103-L$877)*M$876,2),0)</f>
        <v>0</v>
      </c>
      <c r="N1103" s="17">
        <f>K1103</f>
        <v>-0.06</v>
      </c>
      <c r="O1103" s="17"/>
      <c r="P1103" s="17"/>
      <c r="Q1103" s="17">
        <f>SUM(L1103:M1103)</f>
        <v>30120</v>
      </c>
      <c r="R1103" s="16" t="e">
        <f>ROUND(SUM(K1103:M1103)*(R1102-1),2)</f>
        <v>#N/A</v>
      </c>
      <c r="S1103" s="17">
        <f>ROUND($B1103*S$980*S1102,2)</f>
        <v>0</v>
      </c>
      <c r="T1103" s="17">
        <f>ROUND($B1103*T$1086,2)</f>
        <v>0</v>
      </c>
      <c r="U1103" s="17">
        <f>ROUND($B1103*U$1086,2)</f>
        <v>0</v>
      </c>
      <c r="V1103" s="17">
        <f>ROUND($B1103*V$972,2)</f>
        <v>0</v>
      </c>
      <c r="W1103" s="17">
        <f>ROUND($B1103*W$1086,2)</f>
        <v>0</v>
      </c>
      <c r="X1103" s="17">
        <f>ROUND($B1103*X$1086,2)</f>
        <v>0</v>
      </c>
      <c r="Y1103" s="17">
        <f>ROUND($B1103*Y$1086,2)</f>
        <v>0</v>
      </c>
      <c r="Z1103" s="17">
        <f>ROUND($B1103*Z$1086,2)</f>
        <v>0</v>
      </c>
      <c r="AA1103" s="17">
        <f>ROUND($B1103*AA$1086,2)</f>
        <v>0</v>
      </c>
      <c r="AB1103" s="19">
        <f>SUM(V1045:AA1045)</f>
        <v>0</v>
      </c>
      <c r="AC1103" s="67" t="str">
        <f>+F1103</f>
        <v>HL47</v>
      </c>
    </row>
    <row r="1104" spans="1:29" x14ac:dyDescent="0.2">
      <c r="A1104" s="9"/>
      <c r="B1104" s="103">
        <v>-1</v>
      </c>
      <c r="D1104" s="8"/>
      <c r="E1104" s="9"/>
      <c r="F1104" s="36"/>
      <c r="G1104" s="17"/>
      <c r="H1104" s="19"/>
      <c r="J1104" s="8"/>
      <c r="K1104" s="17"/>
      <c r="L1104" s="17"/>
      <c r="M1104" s="17"/>
      <c r="N1104" s="17"/>
      <c r="O1104" s="17"/>
      <c r="P1104" s="17"/>
      <c r="Q1104" s="17"/>
      <c r="R1104" s="38" t="e">
        <f>VLOOKUP((D1105),'Pwr Factor'!$A$1:$B$52,2)</f>
        <v>#N/A</v>
      </c>
      <c r="S1104" s="50">
        <v>0.25</v>
      </c>
      <c r="T1104" s="17"/>
      <c r="U1104" s="17"/>
      <c r="V1104" s="17"/>
      <c r="W1104" s="17"/>
      <c r="X1104" s="17"/>
      <c r="Y1104" s="17"/>
      <c r="Z1104" s="17"/>
      <c r="AA1104" s="17"/>
    </row>
    <row r="1105" spans="1:29" x14ac:dyDescent="0.2">
      <c r="A1105" s="1" t="s">
        <v>150</v>
      </c>
      <c r="B1105" s="103">
        <f>IF(AND('AES Indiana Bill Calc.'!$D$17="HL4",'AES Indiana Bill Calc.'!$D$18="Yes 25%",'AES Indiana Bill Calc.'!$D$20="Yes Before 2018"),'AES Indiana Bill Calc.'!$D$19,-1)</f>
        <v>-1</v>
      </c>
      <c r="C1105" s="103">
        <f>MAX(E1105,$C$769)</f>
        <v>2000</v>
      </c>
      <c r="D1105" s="103" t="b">
        <f>IF(AND('AES Indiana Bill Calc.'!$D$17="HL4",'AES Indiana Bill Calc.'!$D$18="Yes 25%",'AES Indiana Bill Calc.'!$D$20="Yes Before 2018"),'AES Indiana Bill Calc.'!$D$22)</f>
        <v>0</v>
      </c>
      <c r="E1105" s="103" t="b">
        <f>IF(AND('AES Indiana Bill Calc.'!$D$17="HL4",'AES Indiana Bill Calc.'!$D$18="Yes 25%",'AES Indiana Bill Calc.'!$D$20="Yes Before 2018"),'AES Indiana Bill Calc.'!$D$21)</f>
        <v>0</v>
      </c>
      <c r="F1105" s="36" t="s">
        <v>255</v>
      </c>
      <c r="G1105" s="92" t="e">
        <f>SUM(J1105:M1105,R1105:AA1105)</f>
        <v>#N/A</v>
      </c>
      <c r="H1105" s="19" t="e">
        <f>IF(ISBLANK(B1105),0,+#REF!/B1105)</f>
        <v>#REF!</v>
      </c>
      <c r="J1105" s="51">
        <f>IF(ISBLANK(B1105),0,+J$980)</f>
        <v>500</v>
      </c>
      <c r="K1105" s="17">
        <f>ROUND($B1105*K$1086,2)</f>
        <v>-0.06</v>
      </c>
      <c r="L1105" s="17">
        <f>IF(ISBLANK($C1105),0,IF($C1105&lt;$C$981,ROUND($C$981*$L$1086,2),IF($C1105&gt;L$1087,ROUND(L$1087*L$1086,2),ROUND($C1105*L$1086,2))))</f>
        <v>30120</v>
      </c>
      <c r="M1105" s="17">
        <f>IF($C1105&gt;L$877,ROUND(($C1105-L$877)*M$876,2),0)</f>
        <v>0</v>
      </c>
      <c r="N1105" s="17">
        <f>K1105</f>
        <v>-0.06</v>
      </c>
      <c r="O1105" s="17"/>
      <c r="P1105" s="17"/>
      <c r="Q1105" s="17">
        <f>SUM(L1105:M1105)</f>
        <v>30120</v>
      </c>
      <c r="R1105" s="16" t="e">
        <f>ROUND(SUM(K1105:M1105)*(R1104-1),2)</f>
        <v>#N/A</v>
      </c>
      <c r="S1105" s="17">
        <f>ROUND($B1105*S$980*S1104,2)</f>
        <v>0</v>
      </c>
      <c r="T1105" s="17">
        <f>ROUND($B1105*T$1086,2)</f>
        <v>0</v>
      </c>
      <c r="U1105" s="17">
        <f>ROUND($B1105*U$1086,2)</f>
        <v>0</v>
      </c>
      <c r="V1105" s="17">
        <f>ROUND($B1105*V$972,2)</f>
        <v>0</v>
      </c>
      <c r="W1105" s="17">
        <f>ROUND($B1105*W$1086,2)</f>
        <v>0</v>
      </c>
      <c r="X1105" s="17">
        <f>ROUND($B1105*X$1086,2)</f>
        <v>0</v>
      </c>
      <c r="Y1105" s="17">
        <f>ROUND($B1105*Y$1086,2)</f>
        <v>0</v>
      </c>
      <c r="Z1105" s="17">
        <f>ROUND($B1105*Z$1086,2)</f>
        <v>0</v>
      </c>
      <c r="AA1105" s="17">
        <f>ROUND($B1105*AA$1086,2)</f>
        <v>0</v>
      </c>
      <c r="AB1105" s="19">
        <f>SUM(V1047:AA1047)</f>
        <v>0</v>
      </c>
      <c r="AC1105" s="67" t="str">
        <f>+F1105</f>
        <v>HL47</v>
      </c>
    </row>
    <row r="1106" spans="1:29" x14ac:dyDescent="0.2">
      <c r="A1106" s="9"/>
      <c r="B1106" s="103">
        <v>-1</v>
      </c>
      <c r="D1106" s="8"/>
      <c r="E1106" s="9"/>
      <c r="F1106" s="36"/>
      <c r="G1106" s="17"/>
      <c r="H1106" s="19"/>
      <c r="J1106" s="8"/>
      <c r="K1106" s="17"/>
      <c r="L1106" s="17"/>
      <c r="M1106" s="17"/>
      <c r="N1106" s="17"/>
      <c r="O1106" s="17"/>
      <c r="P1106" s="17"/>
      <c r="Q1106" s="17"/>
      <c r="R1106" s="38" t="e">
        <f>VLOOKUP((D1107),'Pwr Factor'!$A$1:$B$52,2)</f>
        <v>#N/A</v>
      </c>
      <c r="S1106" s="50">
        <v>0.1</v>
      </c>
      <c r="T1106" s="17"/>
      <c r="U1106" s="17"/>
      <c r="V1106" s="17"/>
      <c r="W1106" s="17"/>
      <c r="X1106" s="17"/>
      <c r="Y1106" s="17"/>
      <c r="Z1106" s="17"/>
      <c r="AA1106" s="17"/>
    </row>
    <row r="1107" spans="1:29" x14ac:dyDescent="0.2">
      <c r="A1107" s="1" t="s">
        <v>164</v>
      </c>
      <c r="B1107" s="103">
        <f>IF(AND('AES Indiana Bill Calc.'!$D$17="HL4",'AES Indiana Bill Calc.'!$D$18="Yes 10%",'AES Indiana Bill Calc.'!$D$20="Yes Before 2018"),'AES Indiana Bill Calc.'!$D$19,-1)</f>
        <v>-1</v>
      </c>
      <c r="C1107" s="103">
        <f>MAX(E1107,$C$769)</f>
        <v>2000</v>
      </c>
      <c r="D1107" s="103" t="b">
        <f>IF(AND('AES Indiana Bill Calc.'!$D$17="HL4",'AES Indiana Bill Calc.'!$D$18="Yes 10%",'AES Indiana Bill Calc.'!$D$20="Yes Before 2018"),'AES Indiana Bill Calc.'!$D$22)</f>
        <v>0</v>
      </c>
      <c r="E1107" s="103" t="b">
        <f>IF(AND('AES Indiana Bill Calc.'!$D$17="HL4",'AES Indiana Bill Calc.'!$D$18="Yes 10%",'AES Indiana Bill Calc.'!$D$20="Yes Before 2018"),'AES Indiana Bill Calc.'!$D$21)</f>
        <v>0</v>
      </c>
      <c r="F1107" s="36" t="s">
        <v>255</v>
      </c>
      <c r="G1107" s="92" t="e">
        <f>SUM(J1107:M1107,R1107:AA1107)</f>
        <v>#N/A</v>
      </c>
      <c r="H1107" s="19" t="e">
        <f>IF(ISBLANK(B1107),0,+#REF!/B1107)</f>
        <v>#REF!</v>
      </c>
      <c r="J1107" s="51">
        <f>IF(ISBLANK(B1107),0,+J$980)</f>
        <v>500</v>
      </c>
      <c r="K1107" s="17">
        <f>ROUND($B1107*K$1086,2)</f>
        <v>-0.06</v>
      </c>
      <c r="L1107" s="17">
        <f>IF(ISBLANK($C1107),0,IF($C1107&lt;$C$981,ROUND($C$981*$L$1086,2),IF($C1107&gt;L$1087,ROUND(L$1087*L$1086,2),ROUND($C1107*L$1086,2))))</f>
        <v>30120</v>
      </c>
      <c r="M1107" s="17">
        <f>IF($C1107&gt;L$877,ROUND(($C1107-L$877)*M$876,2),0)</f>
        <v>0</v>
      </c>
      <c r="N1107" s="17">
        <f>K1107</f>
        <v>-0.06</v>
      </c>
      <c r="O1107" s="17"/>
      <c r="P1107" s="17"/>
      <c r="Q1107" s="17">
        <f>SUM(L1107:M1107)</f>
        <v>30120</v>
      </c>
      <c r="R1107" s="16" t="e">
        <f>ROUND(SUM(K1107:M1107)*(R1106-1),2)</f>
        <v>#N/A</v>
      </c>
      <c r="S1107" s="17">
        <f>ROUND($B1107*S$980*S1106,2)</f>
        <v>0</v>
      </c>
      <c r="T1107" s="17">
        <f>ROUND($B1107*T$1086,2)</f>
        <v>0</v>
      </c>
      <c r="U1107" s="17">
        <f>ROUND($B1107*U$1086,2)</f>
        <v>0</v>
      </c>
      <c r="V1107" s="17">
        <f>ROUND($B1107*V$972,2)</f>
        <v>0</v>
      </c>
      <c r="W1107" s="17">
        <f>ROUND($B1107*W$1086,2)</f>
        <v>0</v>
      </c>
      <c r="X1107" s="17">
        <f>ROUND($B1107*X$1086,2)</f>
        <v>0</v>
      </c>
      <c r="Y1107" s="17">
        <f>ROUND($B1107*Y$1086,2)</f>
        <v>0</v>
      </c>
      <c r="Z1107" s="17">
        <f>ROUND($B1107*Z$1086,2)</f>
        <v>0</v>
      </c>
      <c r="AA1107" s="17">
        <f>ROUND($B1107*AA$1086,2)</f>
        <v>0</v>
      </c>
      <c r="AB1107" s="19">
        <f>SUM(V1049:AA1049)</f>
        <v>0</v>
      </c>
      <c r="AC1107" s="67" t="str">
        <f>+F1107</f>
        <v>HL47</v>
      </c>
    </row>
    <row r="1108" spans="1:29" x14ac:dyDescent="0.2">
      <c r="A1108" s="9"/>
      <c r="B1108" s="103">
        <v>-1</v>
      </c>
      <c r="D1108" s="8"/>
      <c r="E1108" s="9"/>
      <c r="F1108" s="36"/>
      <c r="G1108" s="17"/>
      <c r="H1108" s="19"/>
      <c r="J1108" s="8"/>
      <c r="K1108" s="17"/>
      <c r="L1108" s="17"/>
      <c r="M1108" s="17"/>
      <c r="N1108" s="17"/>
      <c r="O1108" s="17"/>
      <c r="P1108" s="17"/>
      <c r="Q1108" s="17"/>
      <c r="R1108" s="38" t="e">
        <f>VLOOKUP((D1109),'Pwr Factor'!$A$1:$B$52,2)</f>
        <v>#N/A</v>
      </c>
      <c r="S1108" s="50">
        <v>0</v>
      </c>
      <c r="T1108" s="17"/>
      <c r="U1108" s="17"/>
      <c r="V1108" s="17"/>
      <c r="W1108" s="17"/>
      <c r="X1108" s="17"/>
      <c r="Y1108" s="17"/>
      <c r="Z1108" s="17"/>
      <c r="AA1108" s="17"/>
    </row>
    <row r="1109" spans="1:29" x14ac:dyDescent="0.2">
      <c r="A1109" s="1" t="s">
        <v>147</v>
      </c>
      <c r="B1109" s="103">
        <f>IF(AND('AES Indiana Bill Calc.'!$D$17="HL4",'AES Indiana Bill Calc.'!$D$18="No",'AES Indiana Bill Calc.'!$D$20="Yes Before 2018"),'AES Indiana Bill Calc.'!$D$19,-1)</f>
        <v>-1</v>
      </c>
      <c r="C1109" s="103">
        <f>MAX(E1109,$C$769)</f>
        <v>2000</v>
      </c>
      <c r="D1109" s="103" t="b">
        <f>IF(AND('AES Indiana Bill Calc.'!$D$17="HL4",'AES Indiana Bill Calc.'!$D$18="No",'AES Indiana Bill Calc.'!$D$20="Yes Before 2018"),'AES Indiana Bill Calc.'!$D$22)</f>
        <v>0</v>
      </c>
      <c r="E1109" s="103" t="b">
        <f>IF(AND('AES Indiana Bill Calc.'!$D$17="HL4",'AES Indiana Bill Calc.'!$D$18="No",'AES Indiana Bill Calc.'!$D$20="Yes Before 2018"),'AES Indiana Bill Calc.'!$D$21)</f>
        <v>0</v>
      </c>
      <c r="F1109" s="36" t="s">
        <v>255</v>
      </c>
      <c r="G1109" s="92" t="e">
        <f>SUM(J1109:M1109,R1109:AA1109)</f>
        <v>#N/A</v>
      </c>
      <c r="H1109" s="19" t="e">
        <f>IF(ISBLANK(B1109),0,+#REF!/B1109)</f>
        <v>#REF!</v>
      </c>
      <c r="J1109" s="51">
        <f>IF(ISBLANK(B1109),0,+J$980)</f>
        <v>500</v>
      </c>
      <c r="K1109" s="17">
        <f>ROUND($B1109*K$1086,2)</f>
        <v>-0.06</v>
      </c>
      <c r="L1109" s="17">
        <f>IF(ISBLANK($C1109),0,IF($C1109&lt;$C$981,ROUND($C$981*$L$1086,2),IF($C1109&gt;L$1087,ROUND(L$1087*L$1086,2),ROUND($C1109*L$1086,2))))</f>
        <v>30120</v>
      </c>
      <c r="M1109" s="17">
        <f>IF($C1109&gt;L$877,ROUND(($C1109-L$877)*M$876,2),0)</f>
        <v>0</v>
      </c>
      <c r="N1109" s="17">
        <f>K1109</f>
        <v>-0.06</v>
      </c>
      <c r="O1109" s="17"/>
      <c r="P1109" s="17"/>
      <c r="Q1109" s="17">
        <f>SUM(L1109:M1109)</f>
        <v>30120</v>
      </c>
      <c r="R1109" s="16" t="e">
        <f>ROUND(SUM(K1109:M1109)*(R1108-1),2)</f>
        <v>#N/A</v>
      </c>
      <c r="S1109" s="17">
        <f>ROUND($B1109*S$980*S1108,2)</f>
        <v>0</v>
      </c>
      <c r="T1109" s="17">
        <f>ROUND($B1109*T$1086,2)</f>
        <v>0</v>
      </c>
      <c r="U1109" s="17">
        <f>ROUND($B1109*U$1086,2)</f>
        <v>0</v>
      </c>
      <c r="V1109" s="17">
        <f>ROUND($B1109*V$972,2)</f>
        <v>0</v>
      </c>
      <c r="W1109" s="17">
        <f>ROUND($B1109*W$1086,2)</f>
        <v>0</v>
      </c>
      <c r="X1109" s="17">
        <f>ROUND($B1109*X$1086,2)</f>
        <v>0</v>
      </c>
      <c r="Y1109" s="17">
        <f>ROUND($B1109*Y$1086,2)</f>
        <v>0</v>
      </c>
      <c r="Z1109" s="17">
        <f>ROUND($B1109*Z$1086,2)</f>
        <v>0</v>
      </c>
      <c r="AA1109" s="17">
        <f>ROUND($B1109*AA$1086,2)</f>
        <v>0</v>
      </c>
      <c r="AB1109" s="19">
        <f>SUM(V1051:AA1051)</f>
        <v>0</v>
      </c>
      <c r="AC1109" s="67" t="str">
        <f>+F1109</f>
        <v>HL47</v>
      </c>
    </row>
    <row r="1110" spans="1:29" x14ac:dyDescent="0.2">
      <c r="B1110" s="103">
        <v>-1</v>
      </c>
      <c r="D1110" s="8"/>
      <c r="E1110" s="9"/>
      <c r="F1110" s="36"/>
      <c r="G1110" s="17"/>
      <c r="H1110" s="19"/>
      <c r="J1110" s="8"/>
      <c r="K1110" s="17"/>
      <c r="L1110" s="17"/>
      <c r="M1110" s="17"/>
      <c r="N1110" s="17"/>
      <c r="O1110" s="17"/>
      <c r="P1110" s="17"/>
      <c r="Q1110" s="17"/>
      <c r="R1110" s="38" t="e">
        <f>VLOOKUP((D1111),'Pwr Factor'!$A$1:$B$52,2)</f>
        <v>#N/A</v>
      </c>
      <c r="S1110" s="50">
        <v>1</v>
      </c>
      <c r="T1110" s="17"/>
      <c r="U1110" s="17"/>
      <c r="V1110" s="17"/>
      <c r="W1110" s="17"/>
      <c r="X1110" s="17"/>
      <c r="Y1110" s="17"/>
      <c r="Z1110" s="17"/>
      <c r="AA1110" s="17"/>
    </row>
    <row r="1111" spans="1:29" x14ac:dyDescent="0.2">
      <c r="A1111" s="1" t="s">
        <v>148</v>
      </c>
      <c r="B1111" s="103">
        <f>IF(AND('AES Indiana Bill Calc.'!$D$17="HL4",'AES Indiana Bill Calc.'!$D$18="Yes 100%",'AES Indiana Bill Calc.'!$D$20="Yes 2018"),'AES Indiana Bill Calc.'!$D$19,-1)</f>
        <v>-1</v>
      </c>
      <c r="C1111" s="103">
        <f>MAX(E1111,$C$769)</f>
        <v>2000</v>
      </c>
      <c r="D1111" s="103" t="b">
        <f>IF(AND('AES Indiana Bill Calc.'!$D$17="HL4",'AES Indiana Bill Calc.'!$D$18="Yes 100%",'AES Indiana Bill Calc.'!$D$20="Yes 2018"),'AES Indiana Bill Calc.'!$D$22)</f>
        <v>0</v>
      </c>
      <c r="E1111" s="103" t="b">
        <f>IF(AND('AES Indiana Bill Calc.'!$D$17="HL4",'AES Indiana Bill Calc.'!$D$18="Yes 100%",'AES Indiana Bill Calc.'!$D$20="Yes 2018"),'AES Indiana Bill Calc.'!$D$21)</f>
        <v>0</v>
      </c>
      <c r="F1111" s="36" t="s">
        <v>256</v>
      </c>
      <c r="G1111" s="92" t="e">
        <f>SUM(J1111:M1111,R1111:AA1111)</f>
        <v>#N/A</v>
      </c>
      <c r="H1111" s="19" t="e">
        <f>IF(ISBLANK(B1111),0,+#REF!/B1111)</f>
        <v>#REF!</v>
      </c>
      <c r="J1111" s="51">
        <f>IF(ISBLANK(B1111),0,+J$980)</f>
        <v>500</v>
      </c>
      <c r="K1111" s="17">
        <f>ROUND($B1111*K$1086,2)</f>
        <v>-0.06</v>
      </c>
      <c r="L1111" s="17">
        <f>IF(ISBLANK($C1111),0,IF($C1111&lt;$C$981,ROUND($C$981*$L$1086,2),IF($C1111&gt;L$1087,ROUND(L$1087*L$1086,2),ROUND($C1111*L$1086,2))))</f>
        <v>30120</v>
      </c>
      <c r="M1111" s="17">
        <f>IF($C1111&gt;L$877,ROUND(($C1111-L$877)*M$876,2),0)</f>
        <v>0</v>
      </c>
      <c r="N1111" s="17">
        <f>K1111</f>
        <v>-0.06</v>
      </c>
      <c r="O1111" s="17"/>
      <c r="P1111" s="17"/>
      <c r="Q1111" s="17">
        <f>SUM(L1111:M1111)</f>
        <v>30120</v>
      </c>
      <c r="R1111" s="16" t="e">
        <f>ROUND(SUM(K1111:M1111)*(R1110-1),2)</f>
        <v>#N/A</v>
      </c>
      <c r="S1111" s="17">
        <f>ROUND($B1111*S$980*S1110,2)</f>
        <v>0</v>
      </c>
      <c r="T1111" s="17">
        <f>ROUND($B1111*T$1086,2)</f>
        <v>0</v>
      </c>
      <c r="U1111" s="17">
        <f>ROUND($B1111*U$1086,2)</f>
        <v>0</v>
      </c>
      <c r="V1111" s="17">
        <f>ROUND($B1111*V$973,2)</f>
        <v>0</v>
      </c>
      <c r="W1111" s="17">
        <f>ROUND($B1111*W$1086,2)</f>
        <v>0</v>
      </c>
      <c r="X1111" s="17">
        <f>ROUND($B1111*X$1086,2)</f>
        <v>0</v>
      </c>
      <c r="Y1111" s="17">
        <f>ROUND($B1111*Y$1086,2)</f>
        <v>0</v>
      </c>
      <c r="Z1111" s="17">
        <f>ROUND($B1111*Z$1086,2)</f>
        <v>0</v>
      </c>
      <c r="AA1111" s="17">
        <f>ROUND($B1111*AA$1086,2)</f>
        <v>0</v>
      </c>
      <c r="AB1111" s="19">
        <f>SUM(V1053:AA1053)</f>
        <v>0</v>
      </c>
      <c r="AC1111" s="67" t="str">
        <f>+F1111</f>
        <v>HL48</v>
      </c>
    </row>
    <row r="1112" spans="1:29" x14ac:dyDescent="0.2">
      <c r="A1112" s="48"/>
      <c r="B1112" s="103">
        <v>-1</v>
      </c>
      <c r="D1112" s="8"/>
      <c r="E1112" s="9"/>
      <c r="F1112" s="36"/>
      <c r="G1112" s="17"/>
      <c r="H1112" s="19"/>
      <c r="J1112" s="8"/>
      <c r="K1112" s="17"/>
      <c r="L1112" s="17"/>
      <c r="M1112" s="17"/>
      <c r="N1112" s="17"/>
      <c r="O1112" s="17"/>
      <c r="P1112" s="17"/>
      <c r="Q1112" s="17"/>
      <c r="R1112" s="38" t="e">
        <f>VLOOKUP((D1113),'Pwr Factor'!$A$1:$B$52,2)</f>
        <v>#N/A</v>
      </c>
      <c r="S1112" s="50">
        <v>0.5</v>
      </c>
      <c r="T1112" s="17"/>
      <c r="U1112" s="17"/>
      <c r="V1112" s="17"/>
      <c r="W1112" s="17"/>
      <c r="X1112" s="17"/>
      <c r="Y1112" s="17"/>
      <c r="Z1112" s="17"/>
      <c r="AA1112" s="17"/>
    </row>
    <row r="1113" spans="1:29" x14ac:dyDescent="0.2">
      <c r="A1113" s="1" t="s">
        <v>149</v>
      </c>
      <c r="B1113" s="103">
        <f>IF(AND('AES Indiana Bill Calc.'!$D$17="HL4",'AES Indiana Bill Calc.'!$D$18="Yes 50%",'AES Indiana Bill Calc.'!$D$20="Yes 2018"),'AES Indiana Bill Calc.'!$D$19,-1)</f>
        <v>-1</v>
      </c>
      <c r="C1113" s="103">
        <f>MAX(E1113,$C$769)</f>
        <v>2000</v>
      </c>
      <c r="D1113" s="103" t="b">
        <f>IF(AND('AES Indiana Bill Calc.'!$D$17="HL4",'AES Indiana Bill Calc.'!$D$18="Yes 50%",'AES Indiana Bill Calc.'!$D$20="Yes 2018"),'AES Indiana Bill Calc.'!$D$22)</f>
        <v>0</v>
      </c>
      <c r="E1113" s="103" t="b">
        <f>IF(AND('AES Indiana Bill Calc.'!$D$17="HL4",'AES Indiana Bill Calc.'!$D$18="Yes 50%",'AES Indiana Bill Calc.'!$D$20="Yes 2018"),'AES Indiana Bill Calc.'!$D$21)</f>
        <v>0</v>
      </c>
      <c r="F1113" s="36" t="s">
        <v>256</v>
      </c>
      <c r="G1113" s="92" t="e">
        <f>SUM(J1113:M1113,R1113:AA1113)</f>
        <v>#N/A</v>
      </c>
      <c r="H1113" s="19" t="e">
        <f>IF(ISBLANK(B1113),0,+#REF!/B1113)</f>
        <v>#REF!</v>
      </c>
      <c r="J1113" s="51">
        <f>IF(ISBLANK(B1113),0,+J$980)</f>
        <v>500</v>
      </c>
      <c r="K1113" s="17">
        <f>ROUND($B1113*K$1086,2)</f>
        <v>-0.06</v>
      </c>
      <c r="L1113" s="17">
        <f>IF(ISBLANK($C1113),0,IF($C1113&lt;$C$981,ROUND($C$981*$L$1086,2),IF($C1113&gt;L$1087,ROUND(L$1087*L$1086,2),ROUND($C1113*L$1086,2))))</f>
        <v>30120</v>
      </c>
      <c r="M1113" s="17">
        <f>IF($C1113&gt;L$877,ROUND(($C1113-L$877)*M$876,2),0)</f>
        <v>0</v>
      </c>
      <c r="N1113" s="17">
        <f>K1113</f>
        <v>-0.06</v>
      </c>
      <c r="O1113" s="17"/>
      <c r="P1113" s="17"/>
      <c r="Q1113" s="17">
        <f>SUM(L1113:M1113)</f>
        <v>30120</v>
      </c>
      <c r="R1113" s="16" t="e">
        <f>ROUND(SUM(K1113:M1113)*(R1112-1),2)</f>
        <v>#N/A</v>
      </c>
      <c r="S1113" s="17">
        <f>ROUND($B1113*S$980*S1112,2)</f>
        <v>0</v>
      </c>
      <c r="T1113" s="17">
        <f>ROUND($B1113*T$1086,2)</f>
        <v>0</v>
      </c>
      <c r="U1113" s="17">
        <f>ROUND($B1113*U$1086,2)</f>
        <v>0</v>
      </c>
      <c r="V1113" s="17">
        <f>ROUND($B1113*V$973,2)</f>
        <v>0</v>
      </c>
      <c r="W1113" s="17">
        <f>ROUND($B1113*W$1086,2)</f>
        <v>0</v>
      </c>
      <c r="X1113" s="17">
        <f>ROUND($B1113*X$1086,2)</f>
        <v>0</v>
      </c>
      <c r="Y1113" s="17">
        <f>ROUND($B1113*Y$1086,2)</f>
        <v>0</v>
      </c>
      <c r="Z1113" s="17">
        <f>ROUND($B1113*Z$1086,2)</f>
        <v>0</v>
      </c>
      <c r="AA1113" s="17">
        <f>ROUND($B1113*AA$1086,2)</f>
        <v>0</v>
      </c>
      <c r="AB1113" s="19">
        <f>SUM(V1055:AA1055)</f>
        <v>0</v>
      </c>
      <c r="AC1113" s="67" t="str">
        <f>+F1113</f>
        <v>HL48</v>
      </c>
    </row>
    <row r="1114" spans="1:29" x14ac:dyDescent="0.2">
      <c r="A1114" s="9"/>
      <c r="B1114" s="103">
        <v>-1</v>
      </c>
      <c r="D1114" s="8"/>
      <c r="E1114" s="9"/>
      <c r="F1114" s="36"/>
      <c r="G1114" s="17"/>
      <c r="H1114" s="19"/>
      <c r="J1114" s="8"/>
      <c r="K1114" s="17"/>
      <c r="L1114" s="17"/>
      <c r="M1114" s="17"/>
      <c r="N1114" s="17"/>
      <c r="O1114" s="17"/>
      <c r="P1114" s="17"/>
      <c r="Q1114" s="17"/>
      <c r="R1114" s="38" t="e">
        <f>VLOOKUP((D1115),'Pwr Factor'!$A$1:$B$52,2)</f>
        <v>#N/A</v>
      </c>
      <c r="S1114" s="50">
        <v>0.25</v>
      </c>
      <c r="T1114" s="17"/>
      <c r="U1114" s="17"/>
      <c r="V1114" s="17"/>
      <c r="W1114" s="17"/>
      <c r="X1114" s="17"/>
      <c r="Y1114" s="17"/>
      <c r="Z1114" s="17"/>
      <c r="AA1114" s="17"/>
    </row>
    <row r="1115" spans="1:29" x14ac:dyDescent="0.2">
      <c r="A1115" s="1" t="s">
        <v>150</v>
      </c>
      <c r="B1115" s="103">
        <f>IF(AND('AES Indiana Bill Calc.'!$D$17="HL4",'AES Indiana Bill Calc.'!$D$18="Yes 25%",'AES Indiana Bill Calc.'!$D$20="Yes 2018"),'AES Indiana Bill Calc.'!$D$19,-1)</f>
        <v>-1</v>
      </c>
      <c r="C1115" s="103">
        <f>MAX(E1115,$C$769)</f>
        <v>2000</v>
      </c>
      <c r="D1115" s="103" t="b">
        <f>IF(AND('AES Indiana Bill Calc.'!$D$17="HL4",'AES Indiana Bill Calc.'!$D$18="Yes 25%",'AES Indiana Bill Calc.'!$D$20="Yes 2018"),'AES Indiana Bill Calc.'!$D$22)</f>
        <v>0</v>
      </c>
      <c r="E1115" s="103" t="b">
        <f>IF(AND('AES Indiana Bill Calc.'!$D$17="HL4",'AES Indiana Bill Calc.'!$D$18="Yes 25%",'AES Indiana Bill Calc.'!$D$20="Yes 2018"),'AES Indiana Bill Calc.'!$D$21)</f>
        <v>0</v>
      </c>
      <c r="F1115" s="36" t="s">
        <v>256</v>
      </c>
      <c r="G1115" s="92" t="e">
        <f>SUM(J1115:M1115,R1115:AA1115)</f>
        <v>#N/A</v>
      </c>
      <c r="H1115" s="19" t="e">
        <f>IF(ISBLANK(B1115),0,+#REF!/B1115)</f>
        <v>#REF!</v>
      </c>
      <c r="J1115" s="51">
        <f>IF(ISBLANK(B1115),0,+J$980)</f>
        <v>500</v>
      </c>
      <c r="K1115" s="17">
        <f>ROUND($B1115*K$1086,2)</f>
        <v>-0.06</v>
      </c>
      <c r="L1115" s="17">
        <f>IF(ISBLANK($C1115),0,IF($C1115&lt;$C$981,ROUND($C$981*$L$1086,2),IF($C1115&gt;L$1087,ROUND(L$1087*L$1086,2),ROUND($C1115*L$1086,2))))</f>
        <v>30120</v>
      </c>
      <c r="M1115" s="17">
        <f>IF($C1115&gt;L$877,ROUND(($C1115-L$877)*M$876,2),0)</f>
        <v>0</v>
      </c>
      <c r="N1115" s="17">
        <f>K1115</f>
        <v>-0.06</v>
      </c>
      <c r="O1115" s="17"/>
      <c r="P1115" s="17"/>
      <c r="Q1115" s="17">
        <f>SUM(L1115:M1115)</f>
        <v>30120</v>
      </c>
      <c r="R1115" s="16" t="e">
        <f>ROUND(SUM(K1115:M1115)*(R1114-1),2)</f>
        <v>#N/A</v>
      </c>
      <c r="S1115" s="17">
        <f>ROUND($B1115*S$980*S1114,2)</f>
        <v>0</v>
      </c>
      <c r="T1115" s="17">
        <f>ROUND($B1115*T$1086,2)</f>
        <v>0</v>
      </c>
      <c r="U1115" s="17">
        <f>ROUND($B1115*U$1086,2)</f>
        <v>0</v>
      </c>
      <c r="V1115" s="17">
        <f>ROUND($B1115*V$973,2)</f>
        <v>0</v>
      </c>
      <c r="W1115" s="17">
        <f>ROUND($B1115*W$1086,2)</f>
        <v>0</v>
      </c>
      <c r="X1115" s="17">
        <f>ROUND($B1115*X$1086,2)</f>
        <v>0</v>
      </c>
      <c r="Y1115" s="17">
        <f>ROUND($B1115*Y$1086,2)</f>
        <v>0</v>
      </c>
      <c r="Z1115" s="17">
        <f>ROUND($B1115*Z$1086,2)</f>
        <v>0</v>
      </c>
      <c r="AA1115" s="17">
        <f>ROUND($B1115*AA$1086,2)</f>
        <v>0</v>
      </c>
      <c r="AB1115" s="19">
        <f>SUM(V1057:AA1057)</f>
        <v>0</v>
      </c>
      <c r="AC1115" s="67" t="str">
        <f>+F1115</f>
        <v>HL48</v>
      </c>
    </row>
    <row r="1116" spans="1:29" x14ac:dyDescent="0.2">
      <c r="A1116" s="9"/>
      <c r="B1116" s="103">
        <v>-1</v>
      </c>
      <c r="D1116" s="8"/>
      <c r="E1116" s="9"/>
      <c r="F1116" s="36"/>
      <c r="G1116" s="17"/>
      <c r="H1116" s="19"/>
      <c r="J1116" s="8"/>
      <c r="K1116" s="17"/>
      <c r="L1116" s="17"/>
      <c r="M1116" s="17"/>
      <c r="N1116" s="17"/>
      <c r="O1116" s="17"/>
      <c r="P1116" s="17"/>
      <c r="Q1116" s="17"/>
      <c r="R1116" s="38" t="e">
        <f>VLOOKUP((D1117),'Pwr Factor'!$A$1:$B$52,2)</f>
        <v>#N/A</v>
      </c>
      <c r="S1116" s="50">
        <v>0.1</v>
      </c>
      <c r="T1116" s="17"/>
      <c r="U1116" s="17"/>
      <c r="V1116" s="17"/>
      <c r="W1116" s="17"/>
      <c r="X1116" s="17"/>
      <c r="Y1116" s="17"/>
      <c r="Z1116" s="17"/>
      <c r="AA1116" s="17"/>
    </row>
    <row r="1117" spans="1:29" x14ac:dyDescent="0.2">
      <c r="A1117" s="1" t="s">
        <v>164</v>
      </c>
      <c r="B1117" s="103">
        <f>IF(AND('AES Indiana Bill Calc.'!$D$17="HL4",'AES Indiana Bill Calc.'!$D$18="Yes 10%",'AES Indiana Bill Calc.'!$D$20="Yes 2018"),'AES Indiana Bill Calc.'!$D$19,-1)</f>
        <v>-1</v>
      </c>
      <c r="C1117" s="103">
        <f>MAX(E1117,$C$769)</f>
        <v>2000</v>
      </c>
      <c r="D1117" s="103" t="b">
        <f>IF(AND('AES Indiana Bill Calc.'!$D$17="HL4",'AES Indiana Bill Calc.'!$D$18="Yes 10%",'AES Indiana Bill Calc.'!$D$20="Yes 2018"),'AES Indiana Bill Calc.'!$D$22)</f>
        <v>0</v>
      </c>
      <c r="E1117" s="103" t="b">
        <f>IF(AND('AES Indiana Bill Calc.'!$D$17="HL4",'AES Indiana Bill Calc.'!$D$18="Yes 10%",'AES Indiana Bill Calc.'!$D$20="Yes 2018"),'AES Indiana Bill Calc.'!$D$21)</f>
        <v>0</v>
      </c>
      <c r="F1117" s="36" t="s">
        <v>256</v>
      </c>
      <c r="G1117" s="92" t="e">
        <f>SUM(J1117:M1117,R1117:AA1117)</f>
        <v>#N/A</v>
      </c>
      <c r="H1117" s="19" t="e">
        <f>IF(ISBLANK(B1117),0,+#REF!/B1117)</f>
        <v>#REF!</v>
      </c>
      <c r="J1117" s="51">
        <f>IF(ISBLANK(B1117),0,+J$980)</f>
        <v>500</v>
      </c>
      <c r="K1117" s="17">
        <f>ROUND($B1117*K$1086,2)</f>
        <v>-0.06</v>
      </c>
      <c r="L1117" s="17">
        <f>IF(ISBLANK($C1117),0,IF($C1117&lt;$C$981,ROUND($C$981*$L$1086,2),IF($C1117&gt;L$1087,ROUND(L$1087*L$1086,2),ROUND($C1117*L$1086,2))))</f>
        <v>30120</v>
      </c>
      <c r="M1117" s="17">
        <f>IF($C1117&gt;L$877,ROUND(($C1117-L$877)*M$876,2),0)</f>
        <v>0</v>
      </c>
      <c r="N1117" s="17">
        <f>K1117</f>
        <v>-0.06</v>
      </c>
      <c r="O1117" s="17"/>
      <c r="P1117" s="17"/>
      <c r="Q1117" s="17">
        <f>SUM(L1117:M1117)</f>
        <v>30120</v>
      </c>
      <c r="R1117" s="16" t="e">
        <f>ROUND(SUM(K1117:M1117)*(R1116-1),2)</f>
        <v>#N/A</v>
      </c>
      <c r="S1117" s="17">
        <f>ROUND($B1117*S$980*S1116,2)</f>
        <v>0</v>
      </c>
      <c r="T1117" s="17">
        <f>ROUND($B1117*T$1086,2)</f>
        <v>0</v>
      </c>
      <c r="U1117" s="17">
        <f>ROUND($B1117*U$1086,2)</f>
        <v>0</v>
      </c>
      <c r="V1117" s="17">
        <f>ROUND($B1117*V$973,2)</f>
        <v>0</v>
      </c>
      <c r="W1117" s="17">
        <f>ROUND($B1117*W$1086,2)</f>
        <v>0</v>
      </c>
      <c r="X1117" s="17">
        <f>ROUND($B1117*X$1086,2)</f>
        <v>0</v>
      </c>
      <c r="Y1117" s="17">
        <f>ROUND($B1117*Y$1086,2)</f>
        <v>0</v>
      </c>
      <c r="Z1117" s="17">
        <f>ROUND($B1117*Z$1086,2)</f>
        <v>0</v>
      </c>
      <c r="AA1117" s="17">
        <f>ROUND($B1117*AA$1086,2)</f>
        <v>0</v>
      </c>
      <c r="AB1117" s="19">
        <f>SUM(V1059:AA1059)</f>
        <v>0</v>
      </c>
      <c r="AC1117" s="67" t="str">
        <f>+F1117</f>
        <v>HL48</v>
      </c>
    </row>
    <row r="1118" spans="1:29" x14ac:dyDescent="0.2">
      <c r="A1118" s="9"/>
      <c r="B1118" s="103">
        <v>-1</v>
      </c>
      <c r="D1118" s="8"/>
      <c r="E1118" s="9"/>
      <c r="F1118" s="36"/>
      <c r="G1118" s="17"/>
      <c r="H1118" s="19"/>
      <c r="J1118" s="8"/>
      <c r="K1118" s="17"/>
      <c r="L1118" s="17"/>
      <c r="M1118" s="17"/>
      <c r="N1118" s="17"/>
      <c r="O1118" s="17"/>
      <c r="P1118" s="17"/>
      <c r="Q1118" s="17"/>
      <c r="R1118" s="38" t="e">
        <f>VLOOKUP((D1119),'Pwr Factor'!$A$1:$B$52,2)</f>
        <v>#N/A</v>
      </c>
      <c r="S1118" s="50">
        <v>0</v>
      </c>
      <c r="T1118" s="17"/>
      <c r="U1118" s="17"/>
      <c r="V1118" s="17"/>
      <c r="W1118" s="17"/>
      <c r="X1118" s="17"/>
      <c r="Y1118" s="17"/>
      <c r="Z1118" s="17"/>
      <c r="AA1118" s="17"/>
    </row>
    <row r="1119" spans="1:29" x14ac:dyDescent="0.2">
      <c r="A1119" s="1" t="s">
        <v>147</v>
      </c>
      <c r="B1119" s="103">
        <f>IF(AND('AES Indiana Bill Calc.'!$D$17="HL4",'AES Indiana Bill Calc.'!$D$18="No",'AES Indiana Bill Calc.'!$D$20="Yes 2018"),'AES Indiana Bill Calc.'!$D$19,-1)</f>
        <v>-1</v>
      </c>
      <c r="C1119" s="103">
        <f>MAX(E1119,$C$769)</f>
        <v>2000</v>
      </c>
      <c r="D1119" s="103" t="b">
        <f>IF(AND('AES Indiana Bill Calc.'!$D$17="HL4",'AES Indiana Bill Calc.'!$D$18="No",'AES Indiana Bill Calc.'!$D$20="Yes 2018"),'AES Indiana Bill Calc.'!$D$22)</f>
        <v>0</v>
      </c>
      <c r="E1119" s="103" t="b">
        <f>IF(AND('AES Indiana Bill Calc.'!$D$17="HL4",'AES Indiana Bill Calc.'!$D$18="No",'AES Indiana Bill Calc.'!$D$20="Yes 2018"),'AES Indiana Bill Calc.'!$D$21)</f>
        <v>0</v>
      </c>
      <c r="F1119" s="36" t="s">
        <v>256</v>
      </c>
      <c r="G1119" s="92" t="e">
        <f>SUM(J1119:M1119,R1119:AA1119)</f>
        <v>#N/A</v>
      </c>
      <c r="H1119" s="19" t="e">
        <f>IF(ISBLANK(B1119),0,+#REF!/B1119)</f>
        <v>#REF!</v>
      </c>
      <c r="J1119" s="51">
        <f>IF(ISBLANK(B1119),0,+J$980)</f>
        <v>500</v>
      </c>
      <c r="K1119" s="17">
        <f>ROUND($B1119*K$1086,2)</f>
        <v>-0.06</v>
      </c>
      <c r="L1119" s="17">
        <f>IF(ISBLANK($C1119),0,IF($C1119&lt;$C$981,ROUND($C$981*$L$1086,2),IF($C1119&gt;L$1087,ROUND(L$1087*L$1086,2),ROUND($C1119*L$1086,2))))</f>
        <v>30120</v>
      </c>
      <c r="M1119" s="17">
        <f>IF($C1119&gt;L$877,ROUND(($C1119-L$877)*M$876,2),0)</f>
        <v>0</v>
      </c>
      <c r="N1119" s="17">
        <f>K1119</f>
        <v>-0.06</v>
      </c>
      <c r="O1119" s="17"/>
      <c r="P1119" s="17"/>
      <c r="Q1119" s="17">
        <f>SUM(L1119:M1119)</f>
        <v>30120</v>
      </c>
      <c r="R1119" s="16" t="e">
        <f>ROUND(SUM(K1119:M1119)*(R1118-1),2)</f>
        <v>#N/A</v>
      </c>
      <c r="S1119" s="17">
        <f>ROUND($B1119*S$980*S1118,2)</f>
        <v>0</v>
      </c>
      <c r="T1119" s="17">
        <f>ROUND($B1119*T$1086,2)</f>
        <v>0</v>
      </c>
      <c r="U1119" s="17">
        <f>ROUND($B1119*U$1086,2)</f>
        <v>0</v>
      </c>
      <c r="V1119" s="17">
        <f>ROUND($B1119*V$973,2)</f>
        <v>0</v>
      </c>
      <c r="W1119" s="17">
        <f>ROUND($B1119*W$1086,2)</f>
        <v>0</v>
      </c>
      <c r="X1119" s="17">
        <f>ROUND($B1119*X$1086,2)</f>
        <v>0</v>
      </c>
      <c r="Y1119" s="17">
        <f>ROUND($B1119*Y$1086,2)</f>
        <v>0</v>
      </c>
      <c r="Z1119" s="17">
        <f>ROUND($B1119*Z$1086,2)</f>
        <v>0</v>
      </c>
      <c r="AA1119" s="17">
        <f>ROUND($B1119*AA$1086,2)</f>
        <v>0</v>
      </c>
      <c r="AB1119" s="19">
        <f>SUM(V1061:AA1061)</f>
        <v>0</v>
      </c>
      <c r="AC1119" s="67" t="str">
        <f>+F1119</f>
        <v>HL48</v>
      </c>
    </row>
    <row r="1120" spans="1:29" x14ac:dyDescent="0.2">
      <c r="B1120" s="103">
        <v>-1</v>
      </c>
      <c r="D1120" s="8"/>
      <c r="E1120" s="9"/>
      <c r="F1120" s="36"/>
      <c r="G1120" s="17"/>
      <c r="H1120" s="19"/>
      <c r="J1120" s="8"/>
      <c r="K1120" s="17"/>
      <c r="L1120" s="17"/>
      <c r="M1120" s="17"/>
      <c r="N1120" s="17"/>
      <c r="O1120" s="17"/>
      <c r="P1120" s="17"/>
      <c r="Q1120" s="17"/>
      <c r="R1120" s="38" t="e">
        <f>VLOOKUP((D1121),'Pwr Factor'!$A$1:$B$52,2)</f>
        <v>#N/A</v>
      </c>
      <c r="S1120" s="50">
        <v>1</v>
      </c>
      <c r="T1120" s="17"/>
      <c r="U1120" s="17"/>
      <c r="V1120" s="17"/>
      <c r="W1120" s="17"/>
      <c r="X1120" s="17"/>
      <c r="Y1120" s="17"/>
      <c r="Z1120" s="17"/>
      <c r="AA1120" s="17"/>
    </row>
    <row r="1121" spans="1:29" x14ac:dyDescent="0.2">
      <c r="A1121" s="1" t="s">
        <v>148</v>
      </c>
      <c r="B1121" s="103">
        <f>IF(AND('AES Indiana Bill Calc.'!$D$17="HL4",'AES Indiana Bill Calc.'!$D$18="Yes 100%",'AES Indiana Bill Calc.'!$D$20="Yes 2019"),'AES Indiana Bill Calc.'!$D$19,-1)</f>
        <v>-1</v>
      </c>
      <c r="C1121" s="103">
        <f>MAX(E1121,$C$769)</f>
        <v>2000</v>
      </c>
      <c r="D1121" s="103" t="b">
        <f>IF(AND('AES Indiana Bill Calc.'!$D$17="HL4",'AES Indiana Bill Calc.'!$D$18="Yes 100%",'AES Indiana Bill Calc.'!$D$20="Yes 2019"),'AES Indiana Bill Calc.'!$D$22)</f>
        <v>0</v>
      </c>
      <c r="E1121" s="103" t="b">
        <f>IF(AND('AES Indiana Bill Calc.'!$D$17="HL4",'AES Indiana Bill Calc.'!$D$18="Yes 100%",'AES Indiana Bill Calc.'!$D$20="Yes 2019"),'AES Indiana Bill Calc.'!$D$21)</f>
        <v>0</v>
      </c>
      <c r="F1121" s="36" t="s">
        <v>257</v>
      </c>
      <c r="G1121" s="92" t="e">
        <f>SUM(J1121:M1121,R1121:AA1121)</f>
        <v>#N/A</v>
      </c>
      <c r="H1121" s="19" t="e">
        <f>IF(ISBLANK(B1121),0,+#REF!/B1121)</f>
        <v>#REF!</v>
      </c>
      <c r="J1121" s="51">
        <f>IF(ISBLANK(B1121),0,+J$980)</f>
        <v>500</v>
      </c>
      <c r="K1121" s="17">
        <f>ROUND($B1121*K$1086,2)</f>
        <v>-0.06</v>
      </c>
      <c r="L1121" s="17">
        <f>IF(ISBLANK($C1121),0,IF($C1121&lt;$C$981,ROUND($C$981*$L$1086,2),IF($C1121&gt;L$1087,ROUND(L$1087*L$1086,2),ROUND($C1121*L$1086,2))))</f>
        <v>30120</v>
      </c>
      <c r="M1121" s="17">
        <f>IF($C1121&gt;L$877,ROUND(($C1121-L$877)*M$876,2),0)</f>
        <v>0</v>
      </c>
      <c r="N1121" s="17">
        <f>K1121</f>
        <v>-0.06</v>
      </c>
      <c r="O1121" s="17"/>
      <c r="P1121" s="17"/>
      <c r="Q1121" s="17">
        <f>SUM(L1121:M1121)</f>
        <v>30120</v>
      </c>
      <c r="R1121" s="16" t="e">
        <f>ROUND(SUM(K1121:M1121)*(R1120-1),2)</f>
        <v>#N/A</v>
      </c>
      <c r="S1121" s="17">
        <f>ROUND($B1121*S$980*S1120,2)</f>
        <v>0</v>
      </c>
      <c r="T1121" s="17">
        <f>ROUND($B1121*T$1086,2)</f>
        <v>0</v>
      </c>
      <c r="U1121" s="17">
        <f>ROUND($B1121*U$1086,2)</f>
        <v>0</v>
      </c>
      <c r="V1121" s="17">
        <f>ROUND($B1121*V$974,2)</f>
        <v>0</v>
      </c>
      <c r="W1121" s="17">
        <f>ROUND($B1121*W$1086,2)</f>
        <v>0</v>
      </c>
      <c r="X1121" s="17">
        <f>ROUND($B1121*X$1086,2)</f>
        <v>0</v>
      </c>
      <c r="Y1121" s="17">
        <f>ROUND($B1121*Y$1086,2)</f>
        <v>0</v>
      </c>
      <c r="Z1121" s="17">
        <f>ROUND($B1121*Z$1086,2)</f>
        <v>0</v>
      </c>
      <c r="AA1121" s="17">
        <f>ROUND($B1121*AA$1086,2)</f>
        <v>0</v>
      </c>
      <c r="AB1121" s="19">
        <f>SUM(V1063:AA1063)</f>
        <v>0</v>
      </c>
      <c r="AC1121" s="67" t="str">
        <f>+F1121</f>
        <v>HL49</v>
      </c>
    </row>
    <row r="1122" spans="1:29" x14ac:dyDescent="0.2">
      <c r="A1122" s="48"/>
      <c r="B1122" s="103">
        <v>-1</v>
      </c>
      <c r="D1122" s="8"/>
      <c r="E1122" s="9"/>
      <c r="F1122" s="36"/>
      <c r="G1122" s="17"/>
      <c r="H1122" s="19"/>
      <c r="J1122" s="8"/>
      <c r="K1122" s="17"/>
      <c r="L1122" s="17"/>
      <c r="M1122" s="17"/>
      <c r="N1122" s="17"/>
      <c r="O1122" s="17"/>
      <c r="P1122" s="17"/>
      <c r="Q1122" s="17"/>
      <c r="R1122" s="38" t="e">
        <f>VLOOKUP((D1123),'Pwr Factor'!$A$1:$B$52,2)</f>
        <v>#N/A</v>
      </c>
      <c r="S1122" s="50">
        <v>0.5</v>
      </c>
      <c r="T1122" s="17"/>
      <c r="U1122" s="17"/>
      <c r="V1122" s="17"/>
      <c r="W1122" s="17"/>
      <c r="X1122" s="17"/>
      <c r="Y1122" s="17"/>
      <c r="Z1122" s="17"/>
      <c r="AA1122" s="17"/>
    </row>
    <row r="1123" spans="1:29" x14ac:dyDescent="0.2">
      <c r="A1123" s="1" t="s">
        <v>149</v>
      </c>
      <c r="B1123" s="103">
        <f>IF(AND('AES Indiana Bill Calc.'!$D$17="HL4",'AES Indiana Bill Calc.'!$D$18="Yes 50%",'AES Indiana Bill Calc.'!$D$20="Yes 2019"),'AES Indiana Bill Calc.'!$D$19,-1)</f>
        <v>-1</v>
      </c>
      <c r="C1123" s="103">
        <f>MAX(E1123,$C$769)</f>
        <v>2000</v>
      </c>
      <c r="D1123" s="103" t="b">
        <f>IF(AND('AES Indiana Bill Calc.'!$D$17="HL4",'AES Indiana Bill Calc.'!$D$18="Yes 50%",'AES Indiana Bill Calc.'!$D$20="Yes 2019"),'AES Indiana Bill Calc.'!$D$22)</f>
        <v>0</v>
      </c>
      <c r="E1123" s="103" t="b">
        <f>IF(AND('AES Indiana Bill Calc.'!$D$17="HL4",'AES Indiana Bill Calc.'!$D$18="Yes 50%",'AES Indiana Bill Calc.'!$D$20="Yes 2019"),'AES Indiana Bill Calc.'!$D$21)</f>
        <v>0</v>
      </c>
      <c r="F1123" s="36" t="s">
        <v>257</v>
      </c>
      <c r="G1123" s="92" t="e">
        <f>SUM(J1123:M1123,R1123:AA1123)</f>
        <v>#N/A</v>
      </c>
      <c r="H1123" s="19" t="e">
        <f>IF(ISBLANK(B1123),0,+#REF!/B1123)</f>
        <v>#REF!</v>
      </c>
      <c r="J1123" s="51">
        <f>IF(ISBLANK(B1123),0,+J$980)</f>
        <v>500</v>
      </c>
      <c r="K1123" s="17">
        <f>ROUND($B1123*K$1086,2)</f>
        <v>-0.06</v>
      </c>
      <c r="L1123" s="17">
        <f>IF(ISBLANK($C1123),0,IF($C1123&lt;$C$981,ROUND($C$981*$L$1086,2),IF($C1123&gt;L$1087,ROUND(L$1087*L$1086,2),ROUND($C1123*L$1086,2))))</f>
        <v>30120</v>
      </c>
      <c r="M1123" s="17">
        <f>IF($C1123&gt;L$877,ROUND(($C1123-L$877)*M$876,2),0)</f>
        <v>0</v>
      </c>
      <c r="N1123" s="17">
        <f>K1123</f>
        <v>-0.06</v>
      </c>
      <c r="O1123" s="17"/>
      <c r="P1123" s="17"/>
      <c r="Q1123" s="17">
        <f>SUM(L1123:M1123)</f>
        <v>30120</v>
      </c>
      <c r="R1123" s="16" t="e">
        <f>ROUND(SUM(K1123:M1123)*(R1122-1),2)</f>
        <v>#N/A</v>
      </c>
      <c r="S1123" s="17">
        <f>ROUND($B1123*S$980*S1122,2)</f>
        <v>0</v>
      </c>
      <c r="T1123" s="17">
        <f>ROUND($B1123*T$1086,2)</f>
        <v>0</v>
      </c>
      <c r="U1123" s="17">
        <f>ROUND($B1123*U$1086,2)</f>
        <v>0</v>
      </c>
      <c r="V1123" s="17">
        <f>ROUND($B1123*V$974,2)</f>
        <v>0</v>
      </c>
      <c r="W1123" s="17">
        <f>ROUND($B1123*W$1086,2)</f>
        <v>0</v>
      </c>
      <c r="X1123" s="17">
        <f>ROUND($B1123*X$1086,2)</f>
        <v>0</v>
      </c>
      <c r="Y1123" s="17">
        <f>ROUND($B1123*Y$1086,2)</f>
        <v>0</v>
      </c>
      <c r="Z1123" s="17">
        <f>ROUND($B1123*Z$1086,2)</f>
        <v>0</v>
      </c>
      <c r="AA1123" s="17">
        <f>ROUND($B1123*AA$1086,2)</f>
        <v>0</v>
      </c>
      <c r="AB1123" s="19">
        <f>SUM(V1086:AA1086)</f>
        <v>1.0209999999999998E-3</v>
      </c>
      <c r="AC1123" s="67" t="str">
        <f>+F1123</f>
        <v>HL49</v>
      </c>
    </row>
    <row r="1124" spans="1:29" x14ac:dyDescent="0.2">
      <c r="A1124" s="9"/>
      <c r="B1124" s="103">
        <v>-1</v>
      </c>
      <c r="D1124" s="8"/>
      <c r="E1124" s="9"/>
      <c r="F1124" s="36"/>
      <c r="G1124" s="17"/>
      <c r="H1124" s="19"/>
      <c r="J1124" s="8"/>
      <c r="K1124" s="17"/>
      <c r="L1124" s="17"/>
      <c r="M1124" s="17"/>
      <c r="N1124" s="17"/>
      <c r="O1124" s="17"/>
      <c r="P1124" s="17"/>
      <c r="Q1124" s="17"/>
      <c r="R1124" s="38" t="e">
        <f>VLOOKUP((D1125),'Pwr Factor'!$A$1:$B$52,2)</f>
        <v>#N/A</v>
      </c>
      <c r="S1124" s="50">
        <v>0.25</v>
      </c>
      <c r="T1124" s="17"/>
      <c r="U1124" s="17"/>
      <c r="V1124" s="17"/>
      <c r="W1124" s="17"/>
      <c r="X1124" s="17"/>
      <c r="Y1124" s="17"/>
      <c r="Z1124" s="17"/>
      <c r="AA1124" s="17"/>
    </row>
    <row r="1125" spans="1:29" x14ac:dyDescent="0.2">
      <c r="A1125" s="1" t="s">
        <v>150</v>
      </c>
      <c r="B1125" s="103">
        <f>IF(AND('AES Indiana Bill Calc.'!$D$17="HL4",'AES Indiana Bill Calc.'!$D$18="Yes 25%",'AES Indiana Bill Calc.'!$D$20="Yes 2019"),'AES Indiana Bill Calc.'!$D$19,-1)</f>
        <v>-1</v>
      </c>
      <c r="C1125" s="103">
        <f>MAX(E1125,$C$769)</f>
        <v>2000</v>
      </c>
      <c r="D1125" s="103" t="b">
        <f>IF(AND('AES Indiana Bill Calc.'!$D$17="HL4",'AES Indiana Bill Calc.'!$D$18="Yes 25%",'AES Indiana Bill Calc.'!$D$20="Yes 2019"),'AES Indiana Bill Calc.'!$D$22)</f>
        <v>0</v>
      </c>
      <c r="E1125" s="103" t="b">
        <f>IF(AND('AES Indiana Bill Calc.'!$D$17="HL4",'AES Indiana Bill Calc.'!$D$18="Yes 25%",'AES Indiana Bill Calc.'!$D$20="Yes 2019"),'AES Indiana Bill Calc.'!$D$21)</f>
        <v>0</v>
      </c>
      <c r="F1125" s="36" t="s">
        <v>257</v>
      </c>
      <c r="G1125" s="92" t="e">
        <f>SUM(J1125:M1125,R1125:AA1125)</f>
        <v>#N/A</v>
      </c>
      <c r="H1125" s="19" t="e">
        <f>IF(ISBLANK(B1125),0,+#REF!/B1125)</f>
        <v>#REF!</v>
      </c>
      <c r="J1125" s="51">
        <f>IF(ISBLANK(B1125),0,+J$980)</f>
        <v>500</v>
      </c>
      <c r="K1125" s="17">
        <f>ROUND($B1125*K$1086,2)</f>
        <v>-0.06</v>
      </c>
      <c r="L1125" s="17">
        <f>IF(ISBLANK($C1125),0,IF($C1125&lt;$C$981,ROUND($C$981*$L$1086,2),IF($C1125&gt;L$1087,ROUND(L$1087*L$1086,2),ROUND($C1125*L$1086,2))))</f>
        <v>30120</v>
      </c>
      <c r="M1125" s="17">
        <f>IF($C1125&gt;L$877,ROUND(($C1125-L$877)*M$876,2),0)</f>
        <v>0</v>
      </c>
      <c r="N1125" s="17">
        <f>K1125</f>
        <v>-0.06</v>
      </c>
      <c r="O1125" s="17"/>
      <c r="P1125" s="17"/>
      <c r="Q1125" s="17">
        <f>SUM(L1125:M1125)</f>
        <v>30120</v>
      </c>
      <c r="R1125" s="16" t="e">
        <f>ROUND(SUM(K1125:M1125)*(R1124-1),2)</f>
        <v>#N/A</v>
      </c>
      <c r="S1125" s="17">
        <f>ROUND($B1125*S$980*S1124,2)</f>
        <v>0</v>
      </c>
      <c r="T1125" s="17">
        <f>ROUND($B1125*T$1086,2)</f>
        <v>0</v>
      </c>
      <c r="U1125" s="17">
        <f>ROUND($B1125*U$1086,2)</f>
        <v>0</v>
      </c>
      <c r="V1125" s="17">
        <f>ROUND($B1125*V$974,2)</f>
        <v>0</v>
      </c>
      <c r="W1125" s="17">
        <f>ROUND($B1125*W$1086,2)</f>
        <v>0</v>
      </c>
      <c r="X1125" s="17">
        <f>ROUND($B1125*X$1086,2)</f>
        <v>0</v>
      </c>
      <c r="Y1125" s="17">
        <f>ROUND($B1125*Y$1086,2)</f>
        <v>0</v>
      </c>
      <c r="Z1125" s="17">
        <f>ROUND($B1125*Z$1086,2)</f>
        <v>0</v>
      </c>
      <c r="AA1125" s="17">
        <f>ROUND($B1125*AA$1086,2)</f>
        <v>0</v>
      </c>
      <c r="AB1125" s="19">
        <f>SUM(V1088:AA1088)</f>
        <v>130</v>
      </c>
      <c r="AC1125" s="67" t="str">
        <f>+F1125</f>
        <v>HL49</v>
      </c>
    </row>
    <row r="1126" spans="1:29" x14ac:dyDescent="0.2">
      <c r="A1126" s="9"/>
      <c r="B1126" s="103">
        <v>-1</v>
      </c>
      <c r="D1126" s="8"/>
      <c r="E1126" s="9"/>
      <c r="F1126" s="36"/>
      <c r="G1126" s="17"/>
      <c r="H1126" s="19"/>
      <c r="J1126" s="8"/>
      <c r="K1126" s="17"/>
      <c r="L1126" s="17"/>
      <c r="M1126" s="17"/>
      <c r="N1126" s="17"/>
      <c r="O1126" s="17"/>
      <c r="P1126" s="17"/>
      <c r="Q1126" s="17"/>
      <c r="R1126" s="38" t="e">
        <f>VLOOKUP((D1127),'Pwr Factor'!$A$1:$B$52,2)</f>
        <v>#N/A</v>
      </c>
      <c r="S1126" s="50">
        <v>0.1</v>
      </c>
      <c r="T1126" s="17"/>
      <c r="U1126" s="17"/>
      <c r="V1126" s="17"/>
      <c r="W1126" s="17"/>
      <c r="X1126" s="17"/>
      <c r="Y1126" s="17"/>
      <c r="Z1126" s="17"/>
      <c r="AA1126" s="17"/>
    </row>
    <row r="1127" spans="1:29" x14ac:dyDescent="0.2">
      <c r="A1127" s="1" t="s">
        <v>164</v>
      </c>
      <c r="B1127" s="103">
        <f>IF(AND('AES Indiana Bill Calc.'!$D$17="HL4",'AES Indiana Bill Calc.'!$D$18="Yes 10%",'AES Indiana Bill Calc.'!$D$20="Yes 2019"),'AES Indiana Bill Calc.'!$D$19,-1)</f>
        <v>-1</v>
      </c>
      <c r="C1127" s="103">
        <f>MAX(E1127,$C$769)</f>
        <v>2000</v>
      </c>
      <c r="D1127" s="103" t="b">
        <f>IF(AND('AES Indiana Bill Calc.'!$D$17="HL4",'AES Indiana Bill Calc.'!$D$18="Yes 10%",'AES Indiana Bill Calc.'!$D$20="Yes 2019"),'AES Indiana Bill Calc.'!$D$22)</f>
        <v>0</v>
      </c>
      <c r="E1127" s="103" t="b">
        <f>IF(AND('AES Indiana Bill Calc.'!$D$17="HL4",'AES Indiana Bill Calc.'!$D$18="Yes 10%",'AES Indiana Bill Calc.'!$D$20="Yes 2019"),'AES Indiana Bill Calc.'!$D$21)</f>
        <v>0</v>
      </c>
      <c r="F1127" s="36" t="s">
        <v>257</v>
      </c>
      <c r="G1127" s="92" t="e">
        <f>SUM(J1127:M1127,R1127:AA1127)</f>
        <v>#N/A</v>
      </c>
      <c r="H1127" s="19" t="e">
        <f>IF(ISBLANK(B1127),0,+#REF!/B1127)</f>
        <v>#REF!</v>
      </c>
      <c r="J1127" s="51">
        <f>IF(ISBLANK(B1127),0,+J$980)</f>
        <v>500</v>
      </c>
      <c r="K1127" s="17">
        <f>ROUND($B1127*K$1086,2)</f>
        <v>-0.06</v>
      </c>
      <c r="L1127" s="17">
        <f>IF(ISBLANK($C1127),0,IF($C1127&lt;$C$981,ROUND($C$981*$L$1086,2),IF($C1127&gt;L$1087,ROUND(L$1087*L$1086,2),ROUND($C1127*L$1086,2))))</f>
        <v>30120</v>
      </c>
      <c r="M1127" s="17">
        <f>IF($C1127&gt;L$877,ROUND(($C1127-L$877)*M$876,2),0)</f>
        <v>0</v>
      </c>
      <c r="N1127" s="17">
        <f>K1127</f>
        <v>-0.06</v>
      </c>
      <c r="O1127" s="17"/>
      <c r="P1127" s="17"/>
      <c r="Q1127" s="17">
        <f>SUM(L1127:M1127)</f>
        <v>30120</v>
      </c>
      <c r="R1127" s="16" t="e">
        <f>ROUND(SUM(K1127:M1127)*(R1126-1),2)</f>
        <v>#N/A</v>
      </c>
      <c r="S1127" s="17">
        <f>ROUND($B1127*S$980*S1126,2)</f>
        <v>0</v>
      </c>
      <c r="T1127" s="17">
        <f>ROUND($B1127*T$1086,2)</f>
        <v>0</v>
      </c>
      <c r="U1127" s="17">
        <f>ROUND($B1127*U$1086,2)</f>
        <v>0</v>
      </c>
      <c r="V1127" s="17">
        <f>ROUND($B1127*V$974,2)</f>
        <v>0</v>
      </c>
      <c r="W1127" s="17">
        <f>ROUND($B1127*W$1086,2)</f>
        <v>0</v>
      </c>
      <c r="X1127" s="17">
        <f>ROUND($B1127*X$1086,2)</f>
        <v>0</v>
      </c>
      <c r="Y1127" s="17">
        <f>ROUND($B1127*Y$1086,2)</f>
        <v>0</v>
      </c>
      <c r="Z1127" s="17">
        <f>ROUND($B1127*Z$1086,2)</f>
        <v>0</v>
      </c>
      <c r="AA1127" s="17">
        <f>ROUND($B1127*AA$1086,2)</f>
        <v>0</v>
      </c>
      <c r="AB1127" s="19">
        <f>SUM(V1090:AA1090)</f>
        <v>0</v>
      </c>
      <c r="AC1127" s="67" t="str">
        <f>+F1127</f>
        <v>HL49</v>
      </c>
    </row>
    <row r="1128" spans="1:29" x14ac:dyDescent="0.2">
      <c r="A1128" s="9"/>
      <c r="B1128" s="103">
        <v>-1</v>
      </c>
      <c r="D1128" s="8"/>
      <c r="E1128" s="9"/>
      <c r="F1128" s="36"/>
      <c r="G1128" s="17"/>
      <c r="H1128" s="19"/>
      <c r="J1128" s="8"/>
      <c r="K1128" s="17"/>
      <c r="L1128" s="17"/>
      <c r="M1128" s="17"/>
      <c r="N1128" s="17"/>
      <c r="O1128" s="17"/>
      <c r="P1128" s="17"/>
      <c r="Q1128" s="17"/>
      <c r="R1128" s="38" t="e">
        <f>VLOOKUP((D1129),'Pwr Factor'!$A$1:$B$52,2)</f>
        <v>#N/A</v>
      </c>
      <c r="S1128" s="50">
        <v>0</v>
      </c>
      <c r="T1128" s="17"/>
      <c r="U1128" s="17"/>
      <c r="V1128" s="17"/>
      <c r="W1128" s="17"/>
      <c r="X1128" s="17"/>
      <c r="Y1128" s="17"/>
      <c r="Z1128" s="17"/>
      <c r="AA1128" s="17"/>
    </row>
    <row r="1129" spans="1:29" x14ac:dyDescent="0.2">
      <c r="A1129" s="1" t="s">
        <v>147</v>
      </c>
      <c r="B1129" s="103">
        <f>IF(AND('AES Indiana Bill Calc.'!$D$17="HL4",'AES Indiana Bill Calc.'!$D$18="No",'AES Indiana Bill Calc.'!$D$20="Yes 2019"),'AES Indiana Bill Calc.'!$D$19,-1)</f>
        <v>-1</v>
      </c>
      <c r="C1129" s="103">
        <f>MAX(E1129,$C$769)</f>
        <v>2000</v>
      </c>
      <c r="D1129" s="103" t="b">
        <f>IF(AND('AES Indiana Bill Calc.'!$D$17="HL4",'AES Indiana Bill Calc.'!$D$18="No",'AES Indiana Bill Calc.'!$D$20="Yes 2019"),'AES Indiana Bill Calc.'!$D$22)</f>
        <v>0</v>
      </c>
      <c r="E1129" s="103" t="b">
        <f>IF(AND('AES Indiana Bill Calc.'!$D$17="HL4",'AES Indiana Bill Calc.'!$D$18="No",'AES Indiana Bill Calc.'!$D$20="Yes 2019"),'AES Indiana Bill Calc.'!$D$21)</f>
        <v>0</v>
      </c>
      <c r="F1129" s="36" t="s">
        <v>257</v>
      </c>
      <c r="G1129" s="92" t="e">
        <f>SUM(J1129:M1129,R1129:AA1129)</f>
        <v>#N/A</v>
      </c>
      <c r="H1129" s="19" t="e">
        <f>IF(ISBLANK(B1129),0,+#REF!/B1129)</f>
        <v>#REF!</v>
      </c>
      <c r="J1129" s="51">
        <f>IF(ISBLANK(B1129),0,+J$980)</f>
        <v>500</v>
      </c>
      <c r="K1129" s="17">
        <f>ROUND($B1129*K$1086,2)</f>
        <v>-0.06</v>
      </c>
      <c r="L1129" s="17">
        <f>IF(ISBLANK($C1129),0,IF($C1129&lt;$C$981,ROUND($C$981*$L$1086,2),IF($C1129&gt;L$1087,ROUND(L$1087*L$1086,2),ROUND($C1129*L$1086,2))))</f>
        <v>30120</v>
      </c>
      <c r="M1129" s="17">
        <f>IF($C1129&gt;L$877,ROUND(($C1129-L$877)*M$876,2),0)</f>
        <v>0</v>
      </c>
      <c r="N1129" s="17">
        <f>K1129</f>
        <v>-0.06</v>
      </c>
      <c r="O1129" s="17"/>
      <c r="P1129" s="17"/>
      <c r="Q1129" s="17">
        <f>SUM(L1129:M1129)</f>
        <v>30120</v>
      </c>
      <c r="R1129" s="16" t="e">
        <f>ROUND(SUM(K1129:M1129)*(R1128-1),2)</f>
        <v>#N/A</v>
      </c>
      <c r="S1129" s="17">
        <f>ROUND($B1129*S$980*S1128,2)</f>
        <v>0</v>
      </c>
      <c r="T1129" s="17">
        <f>ROUND($B1129*T$1086,2)</f>
        <v>0</v>
      </c>
      <c r="U1129" s="17">
        <f>ROUND($B1129*U$1086,2)</f>
        <v>0</v>
      </c>
      <c r="V1129" s="17">
        <f>ROUND($B1129*V$974,2)</f>
        <v>0</v>
      </c>
      <c r="W1129" s="17">
        <f>ROUND($B1129*W$1086,2)</f>
        <v>0</v>
      </c>
      <c r="X1129" s="17">
        <f>ROUND($B1129*X$1086,2)</f>
        <v>0</v>
      </c>
      <c r="Y1129" s="17">
        <f>ROUND($B1129*Y$1086,2)</f>
        <v>0</v>
      </c>
      <c r="Z1129" s="17">
        <f>ROUND($B1129*Z$1086,2)</f>
        <v>0</v>
      </c>
      <c r="AA1129" s="17">
        <f>ROUND($B1129*AA$1086,2)</f>
        <v>0</v>
      </c>
      <c r="AB1129" s="19">
        <f>SUM(V1092:AA1092)</f>
        <v>0</v>
      </c>
      <c r="AC1129" s="67" t="str">
        <f>+F1129</f>
        <v>HL49</v>
      </c>
    </row>
    <row r="1130" spans="1:29" x14ac:dyDescent="0.2">
      <c r="B1130" s="103">
        <v>-1</v>
      </c>
      <c r="D1130" s="8"/>
      <c r="E1130" s="9"/>
      <c r="F1130" s="36"/>
      <c r="G1130" s="17"/>
      <c r="H1130" s="19"/>
      <c r="J1130" s="8"/>
      <c r="K1130" s="17"/>
      <c r="L1130" s="17"/>
      <c r="M1130" s="17"/>
      <c r="N1130" s="17"/>
      <c r="O1130" s="17"/>
      <c r="P1130" s="17"/>
      <c r="Q1130" s="17"/>
      <c r="R1130" s="38" t="e">
        <f>VLOOKUP((D1131),'Pwr Factor'!$A$1:$B$52,2)</f>
        <v>#N/A</v>
      </c>
      <c r="S1130" s="50">
        <v>1</v>
      </c>
      <c r="T1130" s="17"/>
      <c r="U1130" s="17"/>
      <c r="V1130" s="17"/>
      <c r="W1130" s="17"/>
      <c r="X1130" s="17"/>
      <c r="Y1130" s="17"/>
      <c r="Z1130" s="17"/>
      <c r="AA1130" s="17"/>
    </row>
    <row r="1131" spans="1:29" x14ac:dyDescent="0.2">
      <c r="A1131" s="1" t="s">
        <v>148</v>
      </c>
      <c r="B1131" s="103">
        <f>IF(AND('AES Indiana Bill Calc.'!$D$17="HL4",'AES Indiana Bill Calc.'!$D$18="Yes 100%",'AES Indiana Bill Calc.'!$D$20="Yes 2020"),'AES Indiana Bill Calc.'!$D$19,-1)</f>
        <v>-1</v>
      </c>
      <c r="C1131" s="103">
        <f>MAX(E1131,$C$769)</f>
        <v>2000</v>
      </c>
      <c r="D1131" s="103" t="b">
        <f>IF(AND('AES Indiana Bill Calc.'!$D$17="HL4",'AES Indiana Bill Calc.'!$D$18="Yes 100%",'AES Indiana Bill Calc.'!$D$20="Yes 2020"),'AES Indiana Bill Calc.'!$D$22)</f>
        <v>0</v>
      </c>
      <c r="E1131" s="103" t="b">
        <f>IF(AND('AES Indiana Bill Calc.'!$D$17="HL4",'AES Indiana Bill Calc.'!$D$18="Yes 100%",'AES Indiana Bill Calc.'!$D$20="Yes 2020"),'AES Indiana Bill Calc.'!$D$21)</f>
        <v>0</v>
      </c>
      <c r="F1131" s="36" t="s">
        <v>258</v>
      </c>
      <c r="G1131" s="92" t="e">
        <f>SUM(J1131:M1131,R1131:AA1131)</f>
        <v>#N/A</v>
      </c>
      <c r="H1131" s="19" t="e">
        <f>IF(ISBLANK(B1131),0,+#REF!/B1131)</f>
        <v>#REF!</v>
      </c>
      <c r="J1131" s="51">
        <f>IF(ISBLANK(B1131),0,+J$980)</f>
        <v>500</v>
      </c>
      <c r="K1131" s="17">
        <f>ROUND($B1131*K$1086,2)</f>
        <v>-0.06</v>
      </c>
      <c r="L1131" s="17">
        <f>IF(ISBLANK($C1131),0,IF($C1131&lt;$C$981,ROUND($C$981*$L$1086,2),IF($C1131&gt;L$1087,ROUND(L$1087*L$1086,2),ROUND($C1131*L$1086,2))))</f>
        <v>30120</v>
      </c>
      <c r="M1131" s="17">
        <f>IF($C1131&gt;L$877,ROUND(($C1131-L$877)*M$876,2),0)</f>
        <v>0</v>
      </c>
      <c r="N1131" s="17">
        <f>K1131</f>
        <v>-0.06</v>
      </c>
      <c r="O1131" s="17"/>
      <c r="P1131" s="17"/>
      <c r="Q1131" s="17">
        <f>SUM(L1131:M1131)</f>
        <v>30120</v>
      </c>
      <c r="R1131" s="16" t="e">
        <f>ROUND(SUM(K1131:M1131)*(R1130-1),2)</f>
        <v>#N/A</v>
      </c>
      <c r="S1131" s="17">
        <f>ROUND($B1131*S$980*S1130,2)</f>
        <v>0</v>
      </c>
      <c r="T1131" s="17">
        <f>ROUND($B1131*T$1086,2)</f>
        <v>0</v>
      </c>
      <c r="U1131" s="17">
        <f>ROUND($B1131*U$1086,2)</f>
        <v>0</v>
      </c>
      <c r="V1131" s="17">
        <f>ROUND($B1131*V$975,2)</f>
        <v>0</v>
      </c>
      <c r="W1131" s="17">
        <f>ROUND($B1131*W$1086,2)</f>
        <v>0</v>
      </c>
      <c r="X1131" s="17">
        <f>ROUND($B1131*X$1086,2)</f>
        <v>0</v>
      </c>
      <c r="Y1131" s="17">
        <f>ROUND($B1131*Y$1086,2)</f>
        <v>0</v>
      </c>
      <c r="Z1131" s="17">
        <f>ROUND($B1131*Z$1086,2)</f>
        <v>0</v>
      </c>
      <c r="AA1131" s="17">
        <f>ROUND($B1131*AA$1086,2)</f>
        <v>0</v>
      </c>
      <c r="AB1131" s="19">
        <f>SUM(V1094:AA1094)</f>
        <v>0</v>
      </c>
      <c r="AC1131" s="67" t="str">
        <f>+F1131</f>
        <v>HL40</v>
      </c>
    </row>
    <row r="1132" spans="1:29" x14ac:dyDescent="0.2">
      <c r="A1132" s="48"/>
      <c r="B1132" s="103">
        <v>-1</v>
      </c>
      <c r="D1132" s="8"/>
      <c r="E1132" s="9"/>
      <c r="F1132" s="36"/>
      <c r="G1132" s="17"/>
      <c r="H1132" s="19"/>
      <c r="J1132" s="8"/>
      <c r="K1132" s="17"/>
      <c r="L1132" s="17"/>
      <c r="M1132" s="17"/>
      <c r="N1132" s="17"/>
      <c r="O1132" s="17"/>
      <c r="P1132" s="17"/>
      <c r="Q1132" s="17"/>
      <c r="R1132" s="38" t="e">
        <f>VLOOKUP((D1133),'Pwr Factor'!$A$1:$B$52,2)</f>
        <v>#N/A</v>
      </c>
      <c r="S1132" s="50">
        <v>0.5</v>
      </c>
      <c r="T1132" s="17"/>
      <c r="U1132" s="17"/>
      <c r="V1132" s="17"/>
      <c r="W1132" s="17"/>
      <c r="X1132" s="17"/>
      <c r="Y1132" s="17"/>
      <c r="Z1132" s="17"/>
      <c r="AA1132" s="17"/>
    </row>
    <row r="1133" spans="1:29" x14ac:dyDescent="0.2">
      <c r="A1133" s="1" t="s">
        <v>149</v>
      </c>
      <c r="B1133" s="103">
        <f>IF(AND('AES Indiana Bill Calc.'!$D$17="HL4",'AES Indiana Bill Calc.'!$D$18="Yes 50%",'AES Indiana Bill Calc.'!$D$20="Yes 2020"),'AES Indiana Bill Calc.'!$D$19,-1)</f>
        <v>-1</v>
      </c>
      <c r="C1133" s="103">
        <f>MAX(E1133,$C$769)</f>
        <v>2000</v>
      </c>
      <c r="D1133" s="103" t="b">
        <f>IF(AND('AES Indiana Bill Calc.'!$D$17="HL4",'AES Indiana Bill Calc.'!$D$18="Yes 50%",'AES Indiana Bill Calc.'!$D$20="Yes 2020"),'AES Indiana Bill Calc.'!$D$22)</f>
        <v>0</v>
      </c>
      <c r="E1133" s="103" t="b">
        <f>IF(AND('AES Indiana Bill Calc.'!$D$17="HL4",'AES Indiana Bill Calc.'!$D$18="Yes 50%",'AES Indiana Bill Calc.'!$D$20="Yes 2020"),'AES Indiana Bill Calc.'!$D$21)</f>
        <v>0</v>
      </c>
      <c r="F1133" s="36" t="s">
        <v>258</v>
      </c>
      <c r="G1133" s="92" t="e">
        <f>SUM(J1133:M1133,R1133:AA1133)</f>
        <v>#N/A</v>
      </c>
      <c r="H1133" s="19" t="e">
        <f>IF(ISBLANK(B1133),0,+#REF!/B1133)</f>
        <v>#REF!</v>
      </c>
      <c r="J1133" s="51">
        <f>IF(ISBLANK(B1133),0,+J$980)</f>
        <v>500</v>
      </c>
      <c r="K1133" s="17">
        <f>ROUND($B1133*K$1086,2)</f>
        <v>-0.06</v>
      </c>
      <c r="L1133" s="17">
        <f>IF(ISBLANK($C1133),0,IF($C1133&lt;$C$981,ROUND($C$981*$L$1086,2),IF($C1133&gt;L$1087,ROUND(L$1087*L$1086,2),ROUND($C1133*L$1086,2))))</f>
        <v>30120</v>
      </c>
      <c r="M1133" s="17">
        <f>IF($C1133&gt;L$877,ROUND(($C1133-L$877)*M$876,2),0)</f>
        <v>0</v>
      </c>
      <c r="N1133" s="17">
        <f>K1133</f>
        <v>-0.06</v>
      </c>
      <c r="O1133" s="17"/>
      <c r="P1133" s="17"/>
      <c r="Q1133" s="17">
        <f>SUM(L1133:M1133)</f>
        <v>30120</v>
      </c>
      <c r="R1133" s="16" t="e">
        <f>ROUND(SUM(K1133:M1133)*(R1132-1),2)</f>
        <v>#N/A</v>
      </c>
      <c r="S1133" s="17">
        <f>ROUND($B1133*S$980*S1132,2)</f>
        <v>0</v>
      </c>
      <c r="T1133" s="17">
        <f>ROUND($B1133*T$1086,2)</f>
        <v>0</v>
      </c>
      <c r="U1133" s="17">
        <f>ROUND($B1133*U$1086,2)</f>
        <v>0</v>
      </c>
      <c r="V1133" s="17">
        <f>ROUND($B1133*V$975,2)</f>
        <v>0</v>
      </c>
      <c r="W1133" s="17">
        <f>ROUND($B1133*W$1086,2)</f>
        <v>0</v>
      </c>
      <c r="X1133" s="17">
        <f>ROUND($B1133*X$1086,2)</f>
        <v>0</v>
      </c>
      <c r="Y1133" s="17">
        <f>ROUND($B1133*Y$1086,2)</f>
        <v>0</v>
      </c>
      <c r="Z1133" s="17">
        <f>ROUND($B1133*Z$1086,2)</f>
        <v>0</v>
      </c>
      <c r="AA1133" s="17">
        <f>ROUND($B1133*AA$1086,2)</f>
        <v>0</v>
      </c>
      <c r="AB1133" s="19">
        <f>SUM(V1096:AA1096)</f>
        <v>0</v>
      </c>
      <c r="AC1133" s="67" t="str">
        <f>+F1133</f>
        <v>HL40</v>
      </c>
    </row>
    <row r="1134" spans="1:29" x14ac:dyDescent="0.2">
      <c r="A1134" s="9"/>
      <c r="B1134" s="103">
        <v>-1</v>
      </c>
      <c r="D1134" s="8"/>
      <c r="E1134" s="9"/>
      <c r="F1134" s="36"/>
      <c r="G1134" s="17"/>
      <c r="H1134" s="19"/>
      <c r="J1134" s="8"/>
      <c r="K1134" s="17"/>
      <c r="L1134" s="17"/>
      <c r="M1134" s="17"/>
      <c r="N1134" s="17"/>
      <c r="O1134" s="17"/>
      <c r="P1134" s="17"/>
      <c r="Q1134" s="17"/>
      <c r="R1134" s="38" t="e">
        <f>VLOOKUP((D1135),'Pwr Factor'!$A$1:$B$52,2)</f>
        <v>#N/A</v>
      </c>
      <c r="S1134" s="50">
        <v>0.25</v>
      </c>
      <c r="T1134" s="17"/>
      <c r="U1134" s="17"/>
      <c r="V1134" s="17"/>
      <c r="W1134" s="17"/>
      <c r="X1134" s="17"/>
      <c r="Y1134" s="17"/>
      <c r="Z1134" s="17"/>
      <c r="AA1134" s="17"/>
    </row>
    <row r="1135" spans="1:29" x14ac:dyDescent="0.2">
      <c r="A1135" s="1" t="s">
        <v>150</v>
      </c>
      <c r="B1135" s="103">
        <f>IF(AND('AES Indiana Bill Calc.'!$D$17="HL4",'AES Indiana Bill Calc.'!$D$18="Yes 25%",'AES Indiana Bill Calc.'!$D$20="Yes 2020"),'AES Indiana Bill Calc.'!$D$19,-1)</f>
        <v>-1</v>
      </c>
      <c r="C1135" s="103">
        <f>MAX(E1135,$C$769)</f>
        <v>2000</v>
      </c>
      <c r="D1135" s="103" t="b">
        <f>IF(AND('AES Indiana Bill Calc.'!$D$17="HL4",'AES Indiana Bill Calc.'!$D$18="Yes 25%",'AES Indiana Bill Calc.'!$D$20="Yes 2020"),'AES Indiana Bill Calc.'!$D$22)</f>
        <v>0</v>
      </c>
      <c r="E1135" s="103" t="b">
        <f>IF(AND('AES Indiana Bill Calc.'!$D$17="HL4",'AES Indiana Bill Calc.'!$D$18="Yes 25%",'AES Indiana Bill Calc.'!$D$20="Yes 2020"),'AES Indiana Bill Calc.'!$D$21)</f>
        <v>0</v>
      </c>
      <c r="F1135" s="36" t="s">
        <v>258</v>
      </c>
      <c r="G1135" s="92" t="e">
        <f>SUM(J1135:M1135,R1135:AA1135)</f>
        <v>#N/A</v>
      </c>
      <c r="H1135" s="19" t="e">
        <f>IF(ISBLANK(B1135),0,+#REF!/B1135)</f>
        <v>#REF!</v>
      </c>
      <c r="J1135" s="51">
        <f>IF(ISBLANK(B1135),0,+J$980)</f>
        <v>500</v>
      </c>
      <c r="K1135" s="17">
        <f>ROUND($B1135*K$1086,2)</f>
        <v>-0.06</v>
      </c>
      <c r="L1135" s="17">
        <f>IF(ISBLANK($C1135),0,IF($C1135&lt;$C$981,ROUND($C$981*$L$1086,2),IF($C1135&gt;L$1087,ROUND(L$1087*L$1086,2),ROUND($C1135*L$1086,2))))</f>
        <v>30120</v>
      </c>
      <c r="M1135" s="17">
        <f>IF($C1135&gt;L$877,ROUND(($C1135-L$877)*M$876,2),0)</f>
        <v>0</v>
      </c>
      <c r="N1135" s="17">
        <f>K1135</f>
        <v>-0.06</v>
      </c>
      <c r="O1135" s="17"/>
      <c r="P1135" s="17"/>
      <c r="Q1135" s="17">
        <f>SUM(L1135:M1135)</f>
        <v>30120</v>
      </c>
      <c r="R1135" s="16" t="e">
        <f>ROUND(SUM(K1135:M1135)*(R1134-1),2)</f>
        <v>#N/A</v>
      </c>
      <c r="S1135" s="17">
        <f>ROUND($B1135*S$980*S1134,2)</f>
        <v>0</v>
      </c>
      <c r="T1135" s="17">
        <f>ROUND($B1135*T$1086,2)</f>
        <v>0</v>
      </c>
      <c r="U1135" s="17">
        <f>ROUND($B1135*U$1086,2)</f>
        <v>0</v>
      </c>
      <c r="V1135" s="17">
        <f>ROUND($B1135*V$975,2)</f>
        <v>0</v>
      </c>
      <c r="W1135" s="17">
        <f>ROUND($B1135*W$1086,2)</f>
        <v>0</v>
      </c>
      <c r="X1135" s="17">
        <f>ROUND($B1135*X$1086,2)</f>
        <v>0</v>
      </c>
      <c r="Y1135" s="17">
        <f>ROUND($B1135*Y$1086,2)</f>
        <v>0</v>
      </c>
      <c r="Z1135" s="17">
        <f>ROUND($B1135*Z$1086,2)</f>
        <v>0</v>
      </c>
      <c r="AA1135" s="17">
        <f>ROUND($B1135*AA$1086,2)</f>
        <v>0</v>
      </c>
      <c r="AB1135" s="19">
        <f>SUM(V1098:AA1098)</f>
        <v>0</v>
      </c>
      <c r="AC1135" s="67" t="str">
        <f>+F1135</f>
        <v>HL40</v>
      </c>
    </row>
    <row r="1136" spans="1:29" x14ac:dyDescent="0.2">
      <c r="A1136" s="9"/>
      <c r="B1136" s="103">
        <v>-1</v>
      </c>
      <c r="D1136" s="8"/>
      <c r="E1136" s="9"/>
      <c r="F1136" s="36"/>
      <c r="G1136" s="17"/>
      <c r="H1136" s="19"/>
      <c r="J1136" s="8"/>
      <c r="K1136" s="17"/>
      <c r="L1136" s="17"/>
      <c r="M1136" s="17"/>
      <c r="N1136" s="17"/>
      <c r="O1136" s="17"/>
      <c r="P1136" s="17"/>
      <c r="Q1136" s="17"/>
      <c r="R1136" s="38" t="e">
        <f>VLOOKUP((D1137),'Pwr Factor'!$A$1:$B$52,2)</f>
        <v>#N/A</v>
      </c>
      <c r="S1136" s="50">
        <v>0.1</v>
      </c>
      <c r="T1136" s="17"/>
      <c r="U1136" s="17"/>
      <c r="V1136" s="17"/>
      <c r="W1136" s="17"/>
      <c r="X1136" s="17"/>
      <c r="Y1136" s="17"/>
      <c r="Z1136" s="17"/>
      <c r="AA1136" s="17"/>
    </row>
    <row r="1137" spans="1:29" x14ac:dyDescent="0.2">
      <c r="A1137" s="1" t="s">
        <v>164</v>
      </c>
      <c r="B1137" s="103">
        <f>IF(AND('AES Indiana Bill Calc.'!$D$17="HL4",'AES Indiana Bill Calc.'!$D$18="Yes 10%",'AES Indiana Bill Calc.'!$D$20="Yes 2020"),'AES Indiana Bill Calc.'!$D$19,-1)</f>
        <v>-1</v>
      </c>
      <c r="C1137" s="103">
        <f>MAX(E1137,$C$769)</f>
        <v>2000</v>
      </c>
      <c r="D1137" s="103" t="b">
        <f>IF(AND('AES Indiana Bill Calc.'!$D$17="HL4",'AES Indiana Bill Calc.'!$D$18="Yes 10%",'AES Indiana Bill Calc.'!$D$20="Yes 2020"),'AES Indiana Bill Calc.'!$D$22)</f>
        <v>0</v>
      </c>
      <c r="E1137" s="103" t="b">
        <f>IF(AND('AES Indiana Bill Calc.'!$D$17="HL4",'AES Indiana Bill Calc.'!$D$18="Yes 10%",'AES Indiana Bill Calc.'!$D$20="Yes 2020"),'AES Indiana Bill Calc.'!$D$21)</f>
        <v>0</v>
      </c>
      <c r="F1137" s="36" t="s">
        <v>258</v>
      </c>
      <c r="G1137" s="92" t="e">
        <f>SUM(J1137:M1137,R1137:AA1137)</f>
        <v>#N/A</v>
      </c>
      <c r="H1137" s="19" t="e">
        <f>IF(ISBLANK(B1137),0,+#REF!/B1137)</f>
        <v>#REF!</v>
      </c>
      <c r="J1137" s="51">
        <f>IF(ISBLANK(B1137),0,+J$980)</f>
        <v>500</v>
      </c>
      <c r="K1137" s="17">
        <f>ROUND($B1137*K$1086,2)</f>
        <v>-0.06</v>
      </c>
      <c r="L1137" s="17">
        <f>IF(ISBLANK($C1137),0,IF($C1137&lt;$C$981,ROUND($C$981*$L$1086,2),IF($C1137&gt;L$1087,ROUND(L$1087*L$1086,2),ROUND($C1137*L$1086,2))))</f>
        <v>30120</v>
      </c>
      <c r="M1137" s="17">
        <f>IF($C1137&gt;L$877,ROUND(($C1137-L$877)*M$876,2),0)</f>
        <v>0</v>
      </c>
      <c r="N1137" s="17">
        <f>K1137</f>
        <v>-0.06</v>
      </c>
      <c r="O1137" s="17"/>
      <c r="P1137" s="17"/>
      <c r="Q1137" s="17">
        <f>SUM(L1137:M1137)</f>
        <v>30120</v>
      </c>
      <c r="R1137" s="16" t="e">
        <f>ROUND(SUM(K1137:M1137)*(R1136-1),2)</f>
        <v>#N/A</v>
      </c>
      <c r="S1137" s="17">
        <f>ROUND($B1137*S$980*S1136,2)</f>
        <v>0</v>
      </c>
      <c r="T1137" s="17">
        <f>ROUND($B1137*T$1086,2)</f>
        <v>0</v>
      </c>
      <c r="U1137" s="17">
        <f>ROUND($B1137*U$1086,2)</f>
        <v>0</v>
      </c>
      <c r="V1137" s="17">
        <f>ROUND($B1137*V$975,2)</f>
        <v>0</v>
      </c>
      <c r="W1137" s="17">
        <f>ROUND($B1137*W$1086,2)</f>
        <v>0</v>
      </c>
      <c r="X1137" s="17">
        <f>ROUND($B1137*X$1086,2)</f>
        <v>0</v>
      </c>
      <c r="Y1137" s="17">
        <f>ROUND($B1137*Y$1086,2)</f>
        <v>0</v>
      </c>
      <c r="Z1137" s="17">
        <f>ROUND($B1137*Z$1086,2)</f>
        <v>0</v>
      </c>
      <c r="AA1137" s="17">
        <f>ROUND($B1137*AA$1086,2)</f>
        <v>0</v>
      </c>
      <c r="AB1137" s="19">
        <f>SUM(V1100:AA1100)</f>
        <v>0</v>
      </c>
      <c r="AC1137" s="67" t="str">
        <f>+F1137</f>
        <v>HL40</v>
      </c>
    </row>
    <row r="1138" spans="1:29" x14ac:dyDescent="0.2">
      <c r="A1138" s="9"/>
      <c r="B1138" s="103">
        <v>-1</v>
      </c>
      <c r="D1138" s="8"/>
      <c r="E1138" s="9"/>
      <c r="F1138" s="36"/>
      <c r="G1138" s="17"/>
      <c r="H1138" s="19"/>
      <c r="J1138" s="8"/>
      <c r="K1138" s="17"/>
      <c r="L1138" s="17"/>
      <c r="M1138" s="17"/>
      <c r="N1138" s="17"/>
      <c r="O1138" s="17"/>
      <c r="P1138" s="17"/>
      <c r="Q1138" s="17"/>
      <c r="R1138" s="38" t="e">
        <f>VLOOKUP((D1139),'Pwr Factor'!$A$1:$B$52,2)</f>
        <v>#N/A</v>
      </c>
      <c r="S1138" s="50">
        <v>0</v>
      </c>
      <c r="T1138" s="17"/>
      <c r="U1138" s="17"/>
      <c r="V1138" s="17"/>
      <c r="W1138" s="17"/>
      <c r="X1138" s="17"/>
      <c r="Y1138" s="17"/>
      <c r="Z1138" s="17"/>
      <c r="AA1138" s="17"/>
    </row>
    <row r="1139" spans="1:29" x14ac:dyDescent="0.2">
      <c r="A1139" s="1" t="s">
        <v>147</v>
      </c>
      <c r="B1139" s="103">
        <f>IF(AND('AES Indiana Bill Calc.'!$D$17="HL4",'AES Indiana Bill Calc.'!$D$18="No",'AES Indiana Bill Calc.'!$D$20="Yes 2020"),'AES Indiana Bill Calc.'!$D$19,-1)</f>
        <v>-1</v>
      </c>
      <c r="C1139" s="103">
        <f>MAX(E1139,$C$769)</f>
        <v>2000</v>
      </c>
      <c r="D1139" s="103" t="b">
        <f>IF(AND('AES Indiana Bill Calc.'!$D$17="HL4",'AES Indiana Bill Calc.'!$D$18="No",'AES Indiana Bill Calc.'!$D$20="Yes 2020"),'AES Indiana Bill Calc.'!$D$22)</f>
        <v>0</v>
      </c>
      <c r="E1139" s="103" t="b">
        <f>IF(AND('AES Indiana Bill Calc.'!$D$17="HL4",'AES Indiana Bill Calc.'!$D$18="No",'AES Indiana Bill Calc.'!$D$20="Yes 2020"),'AES Indiana Bill Calc.'!$D$21)</f>
        <v>0</v>
      </c>
      <c r="F1139" s="36" t="s">
        <v>258</v>
      </c>
      <c r="G1139" s="92" t="e">
        <f>SUM(J1139:M1139,R1139:AA1139)</f>
        <v>#N/A</v>
      </c>
      <c r="H1139" s="19" t="e">
        <f>IF(ISBLANK(B1139),0,+#REF!/B1139)</f>
        <v>#REF!</v>
      </c>
      <c r="J1139" s="51">
        <f>IF(ISBLANK(B1139),0,+J$980)</f>
        <v>500</v>
      </c>
      <c r="K1139" s="17">
        <f>ROUND($B1139*K$1086,2)</f>
        <v>-0.06</v>
      </c>
      <c r="L1139" s="17">
        <f>IF(ISBLANK($C1139),0,IF($C1139&lt;$C$981,ROUND($C$981*$L$1086,2),IF($C1139&gt;L$1087,ROUND(L$1087*L$1086,2),ROUND($C1139*L$1086,2))))</f>
        <v>30120</v>
      </c>
      <c r="M1139" s="17">
        <f>IF($C1139&gt;L$877,ROUND(($C1139-L$877)*M$876,2),0)</f>
        <v>0</v>
      </c>
      <c r="N1139" s="17">
        <f>K1139</f>
        <v>-0.06</v>
      </c>
      <c r="O1139" s="17"/>
      <c r="P1139" s="17"/>
      <c r="Q1139" s="17">
        <f>SUM(L1139:M1139)</f>
        <v>30120</v>
      </c>
      <c r="R1139" s="16" t="e">
        <f>ROUND(SUM(K1139:M1139)*(R1138-1),2)</f>
        <v>#N/A</v>
      </c>
      <c r="S1139" s="17">
        <f>ROUND($B1139*S$980*S1138,2)</f>
        <v>0</v>
      </c>
      <c r="T1139" s="17">
        <f>ROUND($B1139*T$1086,2)</f>
        <v>0</v>
      </c>
      <c r="U1139" s="17">
        <f>ROUND($B1139*U$1086,2)</f>
        <v>0</v>
      </c>
      <c r="V1139" s="17">
        <f>ROUND($B1139*V$975,2)</f>
        <v>0</v>
      </c>
      <c r="W1139" s="17">
        <f>ROUND($B1139*W$1086,2)</f>
        <v>0</v>
      </c>
      <c r="X1139" s="17">
        <f>ROUND($B1139*X$1086,2)</f>
        <v>0</v>
      </c>
      <c r="Y1139" s="17">
        <f>ROUND($B1139*Y$1086,2)</f>
        <v>0</v>
      </c>
      <c r="Z1139" s="17">
        <f>ROUND($B1139*Z$1086,2)</f>
        <v>0</v>
      </c>
      <c r="AA1139" s="17">
        <f>ROUND($B1139*AA$1086,2)</f>
        <v>0</v>
      </c>
      <c r="AB1139" s="19">
        <f>SUM(V1102:AA1102)</f>
        <v>0</v>
      </c>
      <c r="AC1139" s="67" t="str">
        <f>+F1139</f>
        <v>HL40</v>
      </c>
    </row>
    <row r="1140" spans="1:29" x14ac:dyDescent="0.2">
      <c r="B1140" s="103">
        <v>-1</v>
      </c>
      <c r="D1140" s="8"/>
      <c r="E1140" s="9"/>
      <c r="F1140" s="36"/>
      <c r="G1140" s="17"/>
      <c r="H1140" s="19"/>
      <c r="J1140" s="8"/>
      <c r="K1140" s="17"/>
      <c r="L1140" s="17"/>
      <c r="M1140" s="17"/>
      <c r="N1140" s="17"/>
      <c r="O1140" s="17"/>
      <c r="P1140" s="17"/>
      <c r="Q1140" s="17"/>
      <c r="R1140" s="38" t="e">
        <f>VLOOKUP((D1141),'Pwr Factor'!$A$1:$B$52,2)</f>
        <v>#N/A</v>
      </c>
      <c r="S1140" s="50">
        <v>1</v>
      </c>
      <c r="T1140" s="17"/>
      <c r="U1140" s="17"/>
      <c r="V1140" s="17"/>
      <c r="W1140" s="17"/>
      <c r="X1140" s="17"/>
      <c r="Y1140" s="17"/>
      <c r="Z1140" s="17"/>
      <c r="AA1140" s="17"/>
    </row>
    <row r="1141" spans="1:29" x14ac:dyDescent="0.2">
      <c r="A1141" s="1" t="s">
        <v>148</v>
      </c>
      <c r="B1141" s="103">
        <f>IF(AND('AES Indiana Bill Calc.'!$D$17="HL4",'AES Indiana Bill Calc.'!$D$18="Yes 100%",'AES Indiana Bill Calc.'!$D$20="Yes 2021"),'AES Indiana Bill Calc.'!$D$19,-1)</f>
        <v>-1</v>
      </c>
      <c r="C1141" s="103">
        <f>MAX(E1141,$C$769)</f>
        <v>2000</v>
      </c>
      <c r="D1141" s="103" t="b">
        <f>IF(AND('AES Indiana Bill Calc.'!$D$17="HL4",'AES Indiana Bill Calc.'!$D$18="Yes 100%",'AES Indiana Bill Calc.'!$D$20="Yes 2021"),'AES Indiana Bill Calc.'!$D$22)</f>
        <v>0</v>
      </c>
      <c r="E1141" s="103" t="b">
        <f>IF(AND('AES Indiana Bill Calc.'!$D$17="HL4",'AES Indiana Bill Calc.'!$D$18="Yes 100%",'AES Indiana Bill Calc.'!$D$20="Yes 2021"),'AES Indiana Bill Calc.'!$D$21)</f>
        <v>0</v>
      </c>
      <c r="F1141" s="36" t="s">
        <v>259</v>
      </c>
      <c r="G1141" s="92" t="e">
        <f>SUM(J1141:M1141,R1141:AA1141)</f>
        <v>#N/A</v>
      </c>
      <c r="H1141" s="19" t="e">
        <f>IF(ISBLANK(B1141),0,+#REF!/B1141)</f>
        <v>#REF!</v>
      </c>
      <c r="J1141" s="51">
        <f>IF(ISBLANK(B1141),0,+J$980)</f>
        <v>500</v>
      </c>
      <c r="K1141" s="17">
        <f>ROUND($B1141*K$1086,2)</f>
        <v>-0.06</v>
      </c>
      <c r="L1141" s="17">
        <f>IF(ISBLANK($C1141),0,IF($C1141&lt;$C$981,ROUND($C$981*$L$1086,2),IF($C1141&gt;L$1087,ROUND(L$1087*L$1086,2),ROUND($C1141*L$1086,2))))</f>
        <v>30120</v>
      </c>
      <c r="M1141" s="17">
        <f>IF($C1141&gt;L$877,ROUND(($C1141-L$877)*M$876,2),0)</f>
        <v>0</v>
      </c>
      <c r="N1141" s="17">
        <f>K1141</f>
        <v>-0.06</v>
      </c>
      <c r="O1141" s="17"/>
      <c r="P1141" s="17"/>
      <c r="Q1141" s="17">
        <f>SUM(L1141:M1141)</f>
        <v>30120</v>
      </c>
      <c r="R1141" s="16" t="e">
        <f>ROUND(SUM(K1141:M1141)*(R1140-1),2)</f>
        <v>#N/A</v>
      </c>
      <c r="S1141" s="17">
        <f>ROUND($B1141*S$980*S1140,2)</f>
        <v>0</v>
      </c>
      <c r="T1141" s="17">
        <f>ROUND($B1141*T$1086,2)</f>
        <v>0</v>
      </c>
      <c r="U1141" s="17">
        <f>ROUND($B1141*U$1086,2)</f>
        <v>0</v>
      </c>
      <c r="V1141" s="17">
        <f>ROUND($B1141*V$976,2)</f>
        <v>0</v>
      </c>
      <c r="W1141" s="17">
        <f>ROUND($B1141*W$1086,2)</f>
        <v>0</v>
      </c>
      <c r="X1141" s="17">
        <f>ROUND($B1141*X$1086,2)</f>
        <v>0</v>
      </c>
      <c r="Y1141" s="17">
        <f>ROUND($B1141*Y$1086,2)</f>
        <v>0</v>
      </c>
      <c r="Z1141" s="17">
        <f>ROUND($B1141*Z$1086,2)</f>
        <v>0</v>
      </c>
      <c r="AA1141" s="17">
        <f>ROUND($B1141*AA$1086,2)</f>
        <v>0</v>
      </c>
      <c r="AB1141" s="19">
        <f>SUM(V1104:AA1104)</f>
        <v>0</v>
      </c>
      <c r="AC1141" s="67" t="str">
        <f>+F1141</f>
        <v>HL41</v>
      </c>
    </row>
    <row r="1142" spans="1:29" x14ac:dyDescent="0.2">
      <c r="A1142" s="48"/>
      <c r="B1142" s="103">
        <v>-1</v>
      </c>
      <c r="D1142" s="8"/>
      <c r="E1142" s="9"/>
      <c r="F1142" s="36"/>
      <c r="G1142" s="17"/>
      <c r="H1142" s="19"/>
      <c r="J1142" s="8"/>
      <c r="K1142" s="17"/>
      <c r="L1142" s="17"/>
      <c r="M1142" s="17"/>
      <c r="N1142" s="17"/>
      <c r="O1142" s="17"/>
      <c r="P1142" s="17"/>
      <c r="Q1142" s="17"/>
      <c r="R1142" s="38" t="e">
        <f>VLOOKUP((D1143),'Pwr Factor'!$A$1:$B$52,2)</f>
        <v>#N/A</v>
      </c>
      <c r="S1142" s="50">
        <v>0.5</v>
      </c>
      <c r="T1142" s="17"/>
      <c r="U1142" s="17"/>
      <c r="V1142" s="17"/>
      <c r="W1142" s="17"/>
      <c r="X1142" s="17"/>
      <c r="Y1142" s="17"/>
      <c r="Z1142" s="17"/>
      <c r="AA1142" s="17"/>
    </row>
    <row r="1143" spans="1:29" x14ac:dyDescent="0.2">
      <c r="A1143" s="1" t="s">
        <v>149</v>
      </c>
      <c r="B1143" s="103">
        <f>IF(AND('AES Indiana Bill Calc.'!$D$17="HL4",'AES Indiana Bill Calc.'!$D$18="Yes 50%",'AES Indiana Bill Calc.'!$D$20="Yes 2021"),'AES Indiana Bill Calc.'!$D$19,-1)</f>
        <v>-1</v>
      </c>
      <c r="C1143" s="103">
        <f>MAX(E1143,$C$769)</f>
        <v>2000</v>
      </c>
      <c r="D1143" s="103" t="b">
        <f>IF(AND('AES Indiana Bill Calc.'!$D$17="HL4",'AES Indiana Bill Calc.'!$D$18="Yes 50%",'AES Indiana Bill Calc.'!$D$20="Yes 2021"),'AES Indiana Bill Calc.'!$D$22)</f>
        <v>0</v>
      </c>
      <c r="E1143" s="103" t="b">
        <f>IF(AND('AES Indiana Bill Calc.'!$D$17="HL4",'AES Indiana Bill Calc.'!$D$18="Yes 50%",'AES Indiana Bill Calc.'!$D$20="Yes 2021"),'AES Indiana Bill Calc.'!$D$21)</f>
        <v>0</v>
      </c>
      <c r="F1143" s="36" t="s">
        <v>259</v>
      </c>
      <c r="G1143" s="92" t="e">
        <f>SUM(J1143:M1143,R1143:AA1143)</f>
        <v>#N/A</v>
      </c>
      <c r="H1143" s="19" t="e">
        <f>IF(ISBLANK(B1143),0,+#REF!/B1143)</f>
        <v>#REF!</v>
      </c>
      <c r="J1143" s="51">
        <f>IF(ISBLANK(B1143),0,+J$980)</f>
        <v>500</v>
      </c>
      <c r="K1143" s="17">
        <f>ROUND($B1143*K$1086,2)</f>
        <v>-0.06</v>
      </c>
      <c r="L1143" s="17">
        <f>IF(ISBLANK($C1143),0,IF($C1143&lt;$C$981,ROUND($C$981*$L$1086,2),IF($C1143&gt;L$1087,ROUND(L$1087*L$1086,2),ROUND($C1143*L$1086,2))))</f>
        <v>30120</v>
      </c>
      <c r="M1143" s="17">
        <f>IF($C1143&gt;L$877,ROUND(($C1143-L$877)*M$876,2),0)</f>
        <v>0</v>
      </c>
      <c r="N1143" s="17">
        <f>K1143</f>
        <v>-0.06</v>
      </c>
      <c r="O1143" s="17"/>
      <c r="P1143" s="17"/>
      <c r="Q1143" s="17">
        <f>SUM(L1143:M1143)</f>
        <v>30120</v>
      </c>
      <c r="R1143" s="16" t="e">
        <f>ROUND(SUM(K1143:M1143)*(R1142-1),2)</f>
        <v>#N/A</v>
      </c>
      <c r="S1143" s="17">
        <f>ROUND($B1143*S$980*S1142,2)</f>
        <v>0</v>
      </c>
      <c r="T1143" s="17">
        <f>ROUND($B1143*T$1086,2)</f>
        <v>0</v>
      </c>
      <c r="U1143" s="17">
        <f>ROUND($B1143*U$1086,2)</f>
        <v>0</v>
      </c>
      <c r="V1143" s="17">
        <f>ROUND($B1143*V$976,2)</f>
        <v>0</v>
      </c>
      <c r="W1143" s="17">
        <f>ROUND($B1143*W$1086,2)</f>
        <v>0</v>
      </c>
      <c r="X1143" s="17">
        <f>ROUND($B1143*X$1086,2)</f>
        <v>0</v>
      </c>
      <c r="Y1143" s="17">
        <f>ROUND($B1143*Y$1086,2)</f>
        <v>0</v>
      </c>
      <c r="Z1143" s="17">
        <f>ROUND($B1143*Z$1086,2)</f>
        <v>0</v>
      </c>
      <c r="AA1143" s="17">
        <f>ROUND($B1143*AA$1086,2)</f>
        <v>0</v>
      </c>
      <c r="AB1143" s="19">
        <f>SUM(V1106:AA1106)</f>
        <v>0</v>
      </c>
      <c r="AC1143" s="67" t="str">
        <f>+F1143</f>
        <v>HL41</v>
      </c>
    </row>
    <row r="1144" spans="1:29" x14ac:dyDescent="0.2">
      <c r="A1144" s="9"/>
      <c r="B1144" s="103">
        <v>-1</v>
      </c>
      <c r="D1144" s="8"/>
      <c r="E1144" s="9"/>
      <c r="F1144" s="36"/>
      <c r="G1144" s="17"/>
      <c r="H1144" s="19"/>
      <c r="J1144" s="8"/>
      <c r="K1144" s="17"/>
      <c r="L1144" s="17"/>
      <c r="M1144" s="17"/>
      <c r="N1144" s="17"/>
      <c r="O1144" s="17"/>
      <c r="P1144" s="17"/>
      <c r="Q1144" s="17"/>
      <c r="R1144" s="38" t="e">
        <f>VLOOKUP((D1145),'Pwr Factor'!$A$1:$B$52,2)</f>
        <v>#N/A</v>
      </c>
      <c r="S1144" s="50">
        <v>0.25</v>
      </c>
      <c r="T1144" s="17"/>
      <c r="U1144" s="17"/>
      <c r="V1144" s="17"/>
      <c r="W1144" s="17"/>
      <c r="X1144" s="17"/>
      <c r="Y1144" s="17"/>
      <c r="Z1144" s="17"/>
      <c r="AA1144" s="17"/>
    </row>
    <row r="1145" spans="1:29" x14ac:dyDescent="0.2">
      <c r="A1145" s="1" t="s">
        <v>150</v>
      </c>
      <c r="B1145" s="103">
        <f>IF(AND('AES Indiana Bill Calc.'!$D$17="HL4",'AES Indiana Bill Calc.'!$D$18="Yes 25%",'AES Indiana Bill Calc.'!$D$20="Yes 2021"),'AES Indiana Bill Calc.'!$D$19,-1)</f>
        <v>-1</v>
      </c>
      <c r="C1145" s="103">
        <f>MAX(E1145,$C$769)</f>
        <v>2000</v>
      </c>
      <c r="D1145" s="103" t="b">
        <f>IF(AND('AES Indiana Bill Calc.'!$D$17="HL4",'AES Indiana Bill Calc.'!$D$18="Yes 25%",'AES Indiana Bill Calc.'!$D$20="Yes 2021"),'AES Indiana Bill Calc.'!$D$22)</f>
        <v>0</v>
      </c>
      <c r="E1145" s="103" t="b">
        <f>IF(AND('AES Indiana Bill Calc.'!$D$17="HL4",'AES Indiana Bill Calc.'!$D$18="Yes 25%",'AES Indiana Bill Calc.'!$D$20="Yes 2021"),'AES Indiana Bill Calc.'!$D$21)</f>
        <v>0</v>
      </c>
      <c r="F1145" s="36" t="s">
        <v>259</v>
      </c>
      <c r="G1145" s="92" t="e">
        <f>SUM(J1145:M1145,R1145:AA1145)</f>
        <v>#N/A</v>
      </c>
      <c r="H1145" s="19" t="e">
        <f>IF(ISBLANK(B1145),0,+#REF!/B1145)</f>
        <v>#REF!</v>
      </c>
      <c r="J1145" s="51">
        <f>IF(ISBLANK(B1145),0,+J$980)</f>
        <v>500</v>
      </c>
      <c r="K1145" s="17">
        <f>ROUND($B1145*K$1086,2)</f>
        <v>-0.06</v>
      </c>
      <c r="L1145" s="17">
        <f>IF(ISBLANK($C1145),0,IF($C1145&lt;$C$981,ROUND($C$981*$L$1086,2),IF($C1145&gt;L$1087,ROUND(L$1087*L$1086,2),ROUND($C1145*L$1086,2))))</f>
        <v>30120</v>
      </c>
      <c r="M1145" s="17">
        <f>IF($C1145&gt;L$877,ROUND(($C1145-L$877)*M$876,2),0)</f>
        <v>0</v>
      </c>
      <c r="N1145" s="17">
        <f>K1145</f>
        <v>-0.06</v>
      </c>
      <c r="O1145" s="17"/>
      <c r="P1145" s="17"/>
      <c r="Q1145" s="17">
        <f>SUM(L1145:M1145)</f>
        <v>30120</v>
      </c>
      <c r="R1145" s="16" t="e">
        <f>ROUND(SUM(K1145:M1145)*(R1144-1),2)</f>
        <v>#N/A</v>
      </c>
      <c r="S1145" s="17">
        <f>ROUND($B1145*S$980*S1144,2)</f>
        <v>0</v>
      </c>
      <c r="T1145" s="17">
        <f>ROUND($B1145*T$1086,2)</f>
        <v>0</v>
      </c>
      <c r="U1145" s="17">
        <f>ROUND($B1145*U$1086,2)</f>
        <v>0</v>
      </c>
      <c r="V1145" s="17">
        <f>ROUND($B1145*V$976,2)</f>
        <v>0</v>
      </c>
      <c r="W1145" s="17">
        <f>ROUND($B1145*W$1086,2)</f>
        <v>0</v>
      </c>
      <c r="X1145" s="17">
        <f>ROUND($B1145*X$1086,2)</f>
        <v>0</v>
      </c>
      <c r="Y1145" s="17">
        <f>ROUND($B1145*Y$1086,2)</f>
        <v>0</v>
      </c>
      <c r="Z1145" s="17">
        <f>ROUND($B1145*Z$1086,2)</f>
        <v>0</v>
      </c>
      <c r="AA1145" s="17">
        <f>ROUND($B1145*AA$1086,2)</f>
        <v>0</v>
      </c>
      <c r="AB1145" s="19">
        <f>SUM(V1108:AA1108)</f>
        <v>0</v>
      </c>
      <c r="AC1145" s="67" t="str">
        <f>+F1145</f>
        <v>HL41</v>
      </c>
    </row>
    <row r="1146" spans="1:29" x14ac:dyDescent="0.2">
      <c r="A1146" s="9"/>
      <c r="B1146" s="103">
        <v>-1</v>
      </c>
      <c r="D1146" s="8"/>
      <c r="E1146" s="9"/>
      <c r="F1146" s="36"/>
      <c r="G1146" s="17"/>
      <c r="H1146" s="19"/>
      <c r="J1146" s="8"/>
      <c r="K1146" s="17"/>
      <c r="L1146" s="17"/>
      <c r="M1146" s="17"/>
      <c r="N1146" s="17"/>
      <c r="O1146" s="17"/>
      <c r="P1146" s="17"/>
      <c r="Q1146" s="17"/>
      <c r="R1146" s="38" t="e">
        <f>VLOOKUP((D1147),'Pwr Factor'!$A$1:$B$52,2)</f>
        <v>#N/A</v>
      </c>
      <c r="S1146" s="50">
        <v>0.1</v>
      </c>
      <c r="T1146" s="17"/>
      <c r="U1146" s="17"/>
      <c r="V1146" s="17"/>
      <c r="W1146" s="17"/>
      <c r="X1146" s="17"/>
      <c r="Y1146" s="17"/>
      <c r="Z1146" s="17"/>
      <c r="AA1146" s="17"/>
    </row>
    <row r="1147" spans="1:29" x14ac:dyDescent="0.2">
      <c r="A1147" s="1" t="s">
        <v>164</v>
      </c>
      <c r="B1147" s="103">
        <f>IF(AND('AES Indiana Bill Calc.'!$D$17="HL4",'AES Indiana Bill Calc.'!$D$18="Yes 10%",'AES Indiana Bill Calc.'!$D$20="Yes 2021"),'AES Indiana Bill Calc.'!$D$19,-1)</f>
        <v>-1</v>
      </c>
      <c r="C1147" s="103">
        <f>MAX(E1147,$C$769)</f>
        <v>2000</v>
      </c>
      <c r="D1147" s="103" t="b">
        <f>IF(AND('AES Indiana Bill Calc.'!$D$17="HL4",'AES Indiana Bill Calc.'!$D$18="Yes 10%",'AES Indiana Bill Calc.'!$D$20="Yes 2021"),'AES Indiana Bill Calc.'!$D$22)</f>
        <v>0</v>
      </c>
      <c r="E1147" s="103" t="b">
        <f>IF(AND('AES Indiana Bill Calc.'!$D$17="HL4",'AES Indiana Bill Calc.'!$D$18="Yes 10%",'AES Indiana Bill Calc.'!$D$20="Yes 2021"),'AES Indiana Bill Calc.'!$D$21)</f>
        <v>0</v>
      </c>
      <c r="F1147" s="36" t="s">
        <v>259</v>
      </c>
      <c r="G1147" s="92" t="e">
        <f>SUM(J1147:M1147,R1147:AA1147)</f>
        <v>#N/A</v>
      </c>
      <c r="H1147" s="19" t="e">
        <f>IF(ISBLANK(B1147),0,+#REF!/B1147)</f>
        <v>#REF!</v>
      </c>
      <c r="J1147" s="51">
        <f>IF(ISBLANK(B1147),0,+J$980)</f>
        <v>500</v>
      </c>
      <c r="K1147" s="17">
        <f>ROUND($B1147*K$1086,2)</f>
        <v>-0.06</v>
      </c>
      <c r="L1147" s="17">
        <f>IF(ISBLANK($C1147),0,IF($C1147&lt;$C$981,ROUND($C$981*$L$1086,2),IF($C1147&gt;L$1087,ROUND(L$1087*L$1086,2),ROUND($C1147*L$1086,2))))</f>
        <v>30120</v>
      </c>
      <c r="M1147" s="17">
        <f>IF($C1147&gt;L$877,ROUND(($C1147-L$877)*M$876,2),0)</f>
        <v>0</v>
      </c>
      <c r="N1147" s="17">
        <f>K1147</f>
        <v>-0.06</v>
      </c>
      <c r="O1147" s="17"/>
      <c r="P1147" s="17"/>
      <c r="Q1147" s="17">
        <f>SUM(L1147:M1147)</f>
        <v>30120</v>
      </c>
      <c r="R1147" s="16" t="e">
        <f>ROUND(SUM(K1147:M1147)*(R1146-1),2)</f>
        <v>#N/A</v>
      </c>
      <c r="S1147" s="17">
        <f>ROUND($B1147*S$980*S1146,2)</f>
        <v>0</v>
      </c>
      <c r="T1147" s="17">
        <f>ROUND($B1147*T$1086,2)</f>
        <v>0</v>
      </c>
      <c r="U1147" s="17">
        <f>ROUND($B1147*U$1086,2)</f>
        <v>0</v>
      </c>
      <c r="V1147" s="17">
        <f>ROUND($B1147*V$976,2)</f>
        <v>0</v>
      </c>
      <c r="W1147" s="17">
        <f>ROUND($B1147*W$1086,2)</f>
        <v>0</v>
      </c>
      <c r="X1147" s="17">
        <f>ROUND($B1147*X$1086,2)</f>
        <v>0</v>
      </c>
      <c r="Y1147" s="17">
        <f>ROUND($B1147*Y$1086,2)</f>
        <v>0</v>
      </c>
      <c r="Z1147" s="17">
        <f>ROUND($B1147*Z$1086,2)</f>
        <v>0</v>
      </c>
      <c r="AA1147" s="17">
        <f>ROUND($B1147*AA$1086,2)</f>
        <v>0</v>
      </c>
      <c r="AB1147" s="19">
        <f>SUM(V1110:AA1110)</f>
        <v>0</v>
      </c>
      <c r="AC1147" s="67" t="str">
        <f>+F1147</f>
        <v>HL41</v>
      </c>
    </row>
    <row r="1148" spans="1:29" x14ac:dyDescent="0.2">
      <c r="A1148" s="9"/>
      <c r="B1148" s="103">
        <v>-1</v>
      </c>
      <c r="D1148" s="8"/>
      <c r="E1148" s="9"/>
      <c r="F1148" s="36"/>
      <c r="G1148" s="17"/>
      <c r="H1148" s="19"/>
      <c r="J1148" s="8"/>
      <c r="K1148" s="17"/>
      <c r="L1148" s="17"/>
      <c r="M1148" s="17"/>
      <c r="N1148" s="17"/>
      <c r="O1148" s="17"/>
      <c r="P1148" s="17"/>
      <c r="Q1148" s="17"/>
      <c r="R1148" s="38" t="e">
        <f>VLOOKUP((D1149),'Pwr Factor'!$A$1:$B$52,2)</f>
        <v>#N/A</v>
      </c>
      <c r="S1148" s="50">
        <v>0</v>
      </c>
      <c r="T1148" s="17"/>
      <c r="U1148" s="17"/>
      <c r="V1148" s="17"/>
      <c r="W1148" s="17"/>
      <c r="X1148" s="17"/>
      <c r="Y1148" s="17"/>
      <c r="Z1148" s="17"/>
      <c r="AA1148" s="17"/>
    </row>
    <row r="1149" spans="1:29" x14ac:dyDescent="0.2">
      <c r="A1149" s="1" t="s">
        <v>147</v>
      </c>
      <c r="B1149" s="103">
        <f>IF(AND('AES Indiana Bill Calc.'!$D$17="HL4",'AES Indiana Bill Calc.'!$D$18="No",'AES Indiana Bill Calc.'!$D$20="Yes 2021"),'AES Indiana Bill Calc.'!$D$19,-1)</f>
        <v>-1</v>
      </c>
      <c r="C1149" s="103">
        <f>MAX(E1149,$C$769)</f>
        <v>2000</v>
      </c>
      <c r="D1149" s="103" t="b">
        <f>IF(AND('AES Indiana Bill Calc.'!$D$17="HL4",'AES Indiana Bill Calc.'!$D$18="No",'AES Indiana Bill Calc.'!$D$20="Yes 2021"),'AES Indiana Bill Calc.'!$D$22)</f>
        <v>0</v>
      </c>
      <c r="E1149" s="103" t="b">
        <f>IF(AND('AES Indiana Bill Calc.'!$D$17="HL4",'AES Indiana Bill Calc.'!$D$18="No",'AES Indiana Bill Calc.'!$D$20="Yes 2021"),'AES Indiana Bill Calc.'!$D$21)</f>
        <v>0</v>
      </c>
      <c r="F1149" s="36" t="s">
        <v>259</v>
      </c>
      <c r="G1149" s="92" t="e">
        <f>SUM(J1149:M1149,R1149:AA1149)</f>
        <v>#N/A</v>
      </c>
      <c r="H1149" s="19" t="e">
        <f>IF(ISBLANK(B1149),0,+#REF!/B1149)</f>
        <v>#REF!</v>
      </c>
      <c r="J1149" s="51">
        <f>IF(ISBLANK(B1149),0,+J$980)</f>
        <v>500</v>
      </c>
      <c r="K1149" s="17">
        <f>ROUND($B1149*K$1086,2)</f>
        <v>-0.06</v>
      </c>
      <c r="L1149" s="17">
        <f>IF(ISBLANK($C1149),0,IF($C1149&lt;$C$981,ROUND($C$981*$L$1086,2),IF($C1149&gt;L$1087,ROUND(L$1087*L$1086,2),ROUND($C1149*L$1086,2))))</f>
        <v>30120</v>
      </c>
      <c r="M1149" s="17">
        <f>IF($C1149&gt;L$877,ROUND(($C1149-L$877)*M$876,2),0)</f>
        <v>0</v>
      </c>
      <c r="N1149" s="17">
        <f>K1149</f>
        <v>-0.06</v>
      </c>
      <c r="O1149" s="17"/>
      <c r="P1149" s="17"/>
      <c r="Q1149" s="17">
        <f>SUM(L1149:M1149)</f>
        <v>30120</v>
      </c>
      <c r="R1149" s="16" t="e">
        <f>ROUND(SUM(K1149:M1149)*(R1148-1),2)</f>
        <v>#N/A</v>
      </c>
      <c r="S1149" s="17">
        <f>ROUND($B1149*S$980*S1148,2)</f>
        <v>0</v>
      </c>
      <c r="T1149" s="17">
        <f>ROUND($B1149*T$1086,2)</f>
        <v>0</v>
      </c>
      <c r="U1149" s="17">
        <f>ROUND($B1149*U$1086,2)</f>
        <v>0</v>
      </c>
      <c r="V1149" s="17">
        <f>ROUND($B1149*V$976,2)</f>
        <v>0</v>
      </c>
      <c r="W1149" s="17">
        <f>ROUND($B1149*W$1086,2)</f>
        <v>0</v>
      </c>
      <c r="X1149" s="17">
        <f>ROUND($B1149*X$1086,2)</f>
        <v>0</v>
      </c>
      <c r="Y1149" s="17">
        <f>ROUND($B1149*Y$1086,2)</f>
        <v>0</v>
      </c>
      <c r="Z1149" s="17">
        <f>ROUND($B1149*Z$1086,2)</f>
        <v>0</v>
      </c>
      <c r="AA1149" s="17">
        <f>ROUND($B1149*AA$1086,2)</f>
        <v>0</v>
      </c>
      <c r="AB1149" s="19">
        <f>SUM(V1112:AA1112)</f>
        <v>0</v>
      </c>
      <c r="AC1149" s="67" t="str">
        <f>+F1149</f>
        <v>HL41</v>
      </c>
    </row>
    <row r="1150" spans="1:29" s="21" customFormat="1" ht="13.5" thickBot="1" x14ac:dyDescent="0.25">
      <c r="A1150"/>
      <c r="B1150" s="103">
        <v>-1</v>
      </c>
      <c r="C1150" s="2"/>
      <c r="D1150" s="8"/>
      <c r="E1150" s="9"/>
      <c r="F1150" s="36"/>
      <c r="G1150" s="17"/>
      <c r="H1150" s="19"/>
      <c r="I1150"/>
      <c r="J1150" s="8"/>
      <c r="K1150" s="17"/>
      <c r="L1150" s="17"/>
      <c r="M1150" s="17"/>
      <c r="N1150" s="17"/>
      <c r="O1150" s="17"/>
      <c r="P1150" s="17"/>
      <c r="Q1150" s="17"/>
      <c r="R1150" s="38" t="e">
        <f>VLOOKUP((D1151),'Pwr Factor'!$A$1:$B$52,2)</f>
        <v>#N/A</v>
      </c>
      <c r="S1150" s="50">
        <v>1</v>
      </c>
      <c r="T1150" s="17"/>
      <c r="U1150" s="17"/>
      <c r="V1150" s="17"/>
      <c r="W1150" s="17"/>
      <c r="X1150" s="17"/>
      <c r="Y1150" s="17"/>
      <c r="Z1150" s="17"/>
      <c r="AA1150" s="17"/>
      <c r="AB1150"/>
      <c r="AC1150"/>
    </row>
    <row r="1151" spans="1:29" x14ac:dyDescent="0.2">
      <c r="A1151" s="1" t="s">
        <v>148</v>
      </c>
      <c r="B1151" s="103">
        <f>IF(AND('AES Indiana Bill Calc.'!$D$17="HL4",'AES Indiana Bill Calc.'!$D$18="Yes 100%",'AES Indiana Bill Calc.'!$D$20="Yes 2022"),'AES Indiana Bill Calc.'!$D$19,-1)</f>
        <v>-1</v>
      </c>
      <c r="C1151" s="103">
        <f>MAX(E1151,$C$769)</f>
        <v>2000</v>
      </c>
      <c r="D1151" s="103" t="b">
        <f>IF(AND('AES Indiana Bill Calc.'!$D$17="HL4",'AES Indiana Bill Calc.'!$D$18="Yes 100%",'AES Indiana Bill Calc.'!$D$20="Yes 2022"),'AES Indiana Bill Calc.'!$D$22)</f>
        <v>0</v>
      </c>
      <c r="E1151" s="103" t="b">
        <f>IF(AND('AES Indiana Bill Calc.'!$D$17="HL4",'AES Indiana Bill Calc.'!$D$18="Yes 100%",'AES Indiana Bill Calc.'!$D$20="Yes 2022"),'AES Indiana Bill Calc.'!$D$21)</f>
        <v>0</v>
      </c>
      <c r="F1151" s="36" t="s">
        <v>260</v>
      </c>
      <c r="G1151" s="92" t="e">
        <f>SUM(J1151:M1151,R1151:AA1151)</f>
        <v>#N/A</v>
      </c>
      <c r="H1151" s="19" t="e">
        <f>IF(ISBLANK(B1151),0,+#REF!/B1151)</f>
        <v>#REF!</v>
      </c>
      <c r="J1151" s="51">
        <f>IF(ISBLANK(B1151),0,+J$980)</f>
        <v>500</v>
      </c>
      <c r="K1151" s="17">
        <f>ROUND($B1151*K$1086,2)</f>
        <v>-0.06</v>
      </c>
      <c r="L1151" s="17">
        <f>IF(ISBLANK($C1151),0,IF($C1151&lt;$C$981,ROUND($C$981*$L$1086,2),IF($C1151&gt;L$1087,ROUND(L$1087*L$1086,2),ROUND($C1151*L$1086,2))))</f>
        <v>30120</v>
      </c>
      <c r="M1151" s="17">
        <f>IF($C1151&gt;L$877,ROUND(($C1151-L$877)*M$876,2),0)</f>
        <v>0</v>
      </c>
      <c r="N1151" s="17">
        <f>K1151</f>
        <v>-0.06</v>
      </c>
      <c r="O1151" s="17"/>
      <c r="P1151" s="17"/>
      <c r="Q1151" s="17">
        <f>SUM(L1151:M1151)</f>
        <v>30120</v>
      </c>
      <c r="R1151" s="16" t="e">
        <f>ROUND(SUM(K1151:M1151)*(R1150-1),2)</f>
        <v>#N/A</v>
      </c>
      <c r="S1151" s="17">
        <f>ROUND($B1151*S$980*S1150,2)</f>
        <v>0</v>
      </c>
      <c r="T1151" s="17">
        <f>ROUND($B1151*T$1086,2)</f>
        <v>0</v>
      </c>
      <c r="U1151" s="17">
        <f>ROUND($B1151*U$1086,2)</f>
        <v>0</v>
      </c>
      <c r="V1151" s="17">
        <f>ROUND($B1151*V$977,2)</f>
        <v>0</v>
      </c>
      <c r="W1151" s="17">
        <f>ROUND($B1151*W$1086,2)</f>
        <v>0</v>
      </c>
      <c r="X1151" s="17">
        <f>ROUND($B1151*X$1086,2)</f>
        <v>0</v>
      </c>
      <c r="Y1151" s="17">
        <f>ROUND($B1151*Y$1086,2)</f>
        <v>0</v>
      </c>
      <c r="Z1151" s="17">
        <f>ROUND($B1151*Z$1086,2)</f>
        <v>0</v>
      </c>
      <c r="AA1151" s="17">
        <f>ROUND($B1151*AA$1086,2)</f>
        <v>0</v>
      </c>
      <c r="AB1151" s="19">
        <f>SUM(V1114:AA1114)</f>
        <v>0</v>
      </c>
      <c r="AC1151" s="67" t="str">
        <f>+F1151</f>
        <v>HL42</v>
      </c>
    </row>
    <row r="1152" spans="1:29" x14ac:dyDescent="0.2">
      <c r="A1152" s="48"/>
      <c r="B1152" s="103">
        <v>-1</v>
      </c>
      <c r="D1152" s="8"/>
      <c r="E1152" s="9"/>
      <c r="F1152" s="36"/>
      <c r="G1152" s="17"/>
      <c r="H1152" s="19"/>
      <c r="J1152" s="8"/>
      <c r="K1152" s="17"/>
      <c r="L1152" s="17"/>
      <c r="M1152" s="17"/>
      <c r="N1152" s="17"/>
      <c r="O1152" s="17"/>
      <c r="P1152" s="17"/>
      <c r="Q1152" s="17"/>
      <c r="R1152" s="38" t="e">
        <f>VLOOKUP((D1153),'Pwr Factor'!$A$1:$B$52,2)</f>
        <v>#N/A</v>
      </c>
      <c r="S1152" s="50">
        <v>0.5</v>
      </c>
      <c r="T1152" s="17"/>
      <c r="U1152" s="17"/>
      <c r="V1152" s="17"/>
      <c r="W1152" s="17"/>
      <c r="X1152" s="17"/>
      <c r="Y1152" s="17"/>
      <c r="Z1152" s="17"/>
      <c r="AA1152" s="17"/>
    </row>
    <row r="1153" spans="1:29" x14ac:dyDescent="0.2">
      <c r="A1153" s="1" t="s">
        <v>149</v>
      </c>
      <c r="B1153" s="103">
        <f>IF(AND('AES Indiana Bill Calc.'!$D$17="HL4",'AES Indiana Bill Calc.'!$D$18="Yes 50%",'AES Indiana Bill Calc.'!$D$20="Yes 2022"),'AES Indiana Bill Calc.'!$D$19,-1)</f>
        <v>-1</v>
      </c>
      <c r="C1153" s="103">
        <f>MAX(E1153,$C$769)</f>
        <v>2000</v>
      </c>
      <c r="D1153" s="103" t="b">
        <f>IF(AND('AES Indiana Bill Calc.'!$D$17="HL4",'AES Indiana Bill Calc.'!$D$18="Yes 50%",'AES Indiana Bill Calc.'!$D$20="Yes 2022"),'AES Indiana Bill Calc.'!$D$22)</f>
        <v>0</v>
      </c>
      <c r="E1153" s="103" t="b">
        <f>IF(AND('AES Indiana Bill Calc.'!$D$17="HL4",'AES Indiana Bill Calc.'!$D$18="Yes 50%",'AES Indiana Bill Calc.'!$D$20="Yes 2022"),'AES Indiana Bill Calc.'!$D$21)</f>
        <v>0</v>
      </c>
      <c r="F1153" s="36" t="s">
        <v>260</v>
      </c>
      <c r="G1153" s="92" t="e">
        <f>SUM(J1153:M1153,R1153:AA1153)</f>
        <v>#N/A</v>
      </c>
      <c r="H1153" s="19" t="e">
        <f>IF(ISBLANK(B1153),0,+#REF!/B1153)</f>
        <v>#REF!</v>
      </c>
      <c r="J1153" s="51">
        <f>IF(ISBLANK(B1153),0,+J$980)</f>
        <v>500</v>
      </c>
      <c r="K1153" s="17">
        <f>ROUND($B1153*K$1086,2)</f>
        <v>-0.06</v>
      </c>
      <c r="L1153" s="17">
        <f>IF(ISBLANK($C1153),0,IF($C1153&lt;$C$981,ROUND($C$981*$L$1086,2),IF($C1153&gt;L$1087,ROUND(L$1087*L$1086,2),ROUND($C1153*L$1086,2))))</f>
        <v>30120</v>
      </c>
      <c r="M1153" s="17">
        <f>IF($C1153&gt;L$877,ROUND(($C1153-L$877)*M$876,2),0)</f>
        <v>0</v>
      </c>
      <c r="N1153" s="17">
        <f>K1153</f>
        <v>-0.06</v>
      </c>
      <c r="O1153" s="17"/>
      <c r="P1153" s="17"/>
      <c r="Q1153" s="17">
        <f>SUM(L1153:M1153)</f>
        <v>30120</v>
      </c>
      <c r="R1153" s="16" t="e">
        <f>ROUND(SUM(K1153:M1153)*(R1152-1),2)</f>
        <v>#N/A</v>
      </c>
      <c r="S1153" s="17">
        <f>ROUND($B1153*S$980*S1152,2)</f>
        <v>0</v>
      </c>
      <c r="T1153" s="17">
        <f>ROUND($B1153*T$1086,2)</f>
        <v>0</v>
      </c>
      <c r="U1153" s="17">
        <f>ROUND($B1153*U$1086,2)</f>
        <v>0</v>
      </c>
      <c r="V1153" s="17">
        <f>ROUND($B1153*V$977,2)</f>
        <v>0</v>
      </c>
      <c r="W1153" s="17">
        <f>ROUND($B1153*W$1086,2)</f>
        <v>0</v>
      </c>
      <c r="X1153" s="17">
        <f>ROUND($B1153*X$1086,2)</f>
        <v>0</v>
      </c>
      <c r="Y1153" s="17">
        <f>ROUND($B1153*Y$1086,2)</f>
        <v>0</v>
      </c>
      <c r="Z1153" s="17">
        <f>ROUND($B1153*Z$1086,2)</f>
        <v>0</v>
      </c>
      <c r="AA1153" s="17">
        <f>ROUND($B1153*AA$1086,2)</f>
        <v>0</v>
      </c>
      <c r="AB1153" s="19">
        <f>SUM(V1116:AA1116)</f>
        <v>0</v>
      </c>
      <c r="AC1153" s="67" t="str">
        <f>+F1153</f>
        <v>HL42</v>
      </c>
    </row>
    <row r="1154" spans="1:29" x14ac:dyDescent="0.2">
      <c r="A1154" s="9"/>
      <c r="B1154" s="103">
        <v>-1</v>
      </c>
      <c r="D1154" s="8"/>
      <c r="E1154" s="9"/>
      <c r="F1154" s="36"/>
      <c r="G1154" s="17"/>
      <c r="H1154" s="19"/>
      <c r="J1154" s="8"/>
      <c r="K1154" s="17"/>
      <c r="L1154" s="17"/>
      <c r="M1154" s="17"/>
      <c r="N1154" s="17"/>
      <c r="O1154" s="17"/>
      <c r="P1154" s="17"/>
      <c r="Q1154" s="17"/>
      <c r="R1154" s="38" t="e">
        <f>VLOOKUP((D1155),'Pwr Factor'!$A$1:$B$52,2)</f>
        <v>#N/A</v>
      </c>
      <c r="S1154" s="50">
        <v>0.25</v>
      </c>
      <c r="T1154" s="17"/>
      <c r="U1154" s="17"/>
      <c r="V1154" s="17"/>
      <c r="W1154" s="17"/>
      <c r="X1154" s="17"/>
      <c r="Y1154" s="17"/>
      <c r="Z1154" s="17"/>
      <c r="AA1154" s="17"/>
    </row>
    <row r="1155" spans="1:29" x14ac:dyDescent="0.2">
      <c r="A1155" s="1" t="s">
        <v>150</v>
      </c>
      <c r="B1155" s="103">
        <f>IF(AND('AES Indiana Bill Calc.'!$D$17="HL4",'AES Indiana Bill Calc.'!$D$18="Yes 25%",'AES Indiana Bill Calc.'!$D$20="Yes 2022"),'AES Indiana Bill Calc.'!$D$19,-1)</f>
        <v>-1</v>
      </c>
      <c r="C1155" s="103">
        <f>MAX(E1155,$C$769)</f>
        <v>2000</v>
      </c>
      <c r="D1155" s="103" t="b">
        <f>IF(AND('AES Indiana Bill Calc.'!$D$17="HL4",'AES Indiana Bill Calc.'!$D$18="Yes 25%",'AES Indiana Bill Calc.'!$D$20="Yes 2022"),'AES Indiana Bill Calc.'!$D$22)</f>
        <v>0</v>
      </c>
      <c r="E1155" s="103" t="b">
        <f>IF(AND('AES Indiana Bill Calc.'!$D$17="HL4",'AES Indiana Bill Calc.'!$D$18="Yes 25%",'AES Indiana Bill Calc.'!$D$20="Yes 2022"),'AES Indiana Bill Calc.'!$D$21)</f>
        <v>0</v>
      </c>
      <c r="F1155" s="36" t="s">
        <v>260</v>
      </c>
      <c r="G1155" s="92" t="e">
        <f>SUM(J1155:M1155,R1155:AA1155)</f>
        <v>#N/A</v>
      </c>
      <c r="H1155" s="19" t="e">
        <f>IF(ISBLANK(B1155),0,+#REF!/B1155)</f>
        <v>#REF!</v>
      </c>
      <c r="J1155" s="51">
        <f>IF(ISBLANK(B1155),0,+J$980)</f>
        <v>500</v>
      </c>
      <c r="K1155" s="17">
        <f>ROUND($B1155*K$1086,2)</f>
        <v>-0.06</v>
      </c>
      <c r="L1155" s="17">
        <f>IF(ISBLANK($C1155),0,IF($C1155&lt;$C$981,ROUND($C$981*$L$1086,2),IF($C1155&gt;L$1087,ROUND(L$1087*L$1086,2),ROUND($C1155*L$1086,2))))</f>
        <v>30120</v>
      </c>
      <c r="M1155" s="17">
        <f>IF($C1155&gt;L$877,ROUND(($C1155-L$877)*M$876,2),0)</f>
        <v>0</v>
      </c>
      <c r="N1155" s="17">
        <f>K1155</f>
        <v>-0.06</v>
      </c>
      <c r="O1155" s="17"/>
      <c r="P1155" s="17"/>
      <c r="Q1155" s="17">
        <f>SUM(L1155:M1155)</f>
        <v>30120</v>
      </c>
      <c r="R1155" s="16" t="e">
        <f>ROUND(SUM(K1155:M1155)*(R1154-1),2)</f>
        <v>#N/A</v>
      </c>
      <c r="S1155" s="17">
        <f>ROUND($B1155*S$980*S1154,2)</f>
        <v>0</v>
      </c>
      <c r="T1155" s="17">
        <f>ROUND($B1155*T$1086,2)</f>
        <v>0</v>
      </c>
      <c r="U1155" s="17">
        <f>ROUND($B1155*U$1086,2)</f>
        <v>0</v>
      </c>
      <c r="V1155" s="17">
        <f>ROUND($B1155*V$977,2)</f>
        <v>0</v>
      </c>
      <c r="W1155" s="17">
        <f>ROUND($B1155*W$1086,2)</f>
        <v>0</v>
      </c>
      <c r="X1155" s="17">
        <f>ROUND($B1155*X$1086,2)</f>
        <v>0</v>
      </c>
      <c r="Y1155" s="17">
        <f>ROUND($B1155*Y$1086,2)</f>
        <v>0</v>
      </c>
      <c r="Z1155" s="17">
        <f>ROUND($B1155*Z$1086,2)</f>
        <v>0</v>
      </c>
      <c r="AA1155" s="17">
        <f>ROUND($B1155*AA$1086,2)</f>
        <v>0</v>
      </c>
      <c r="AB1155" s="19">
        <f>SUM(V1118:AA1118)</f>
        <v>0</v>
      </c>
      <c r="AC1155" s="67" t="str">
        <f>+F1155</f>
        <v>HL42</v>
      </c>
    </row>
    <row r="1156" spans="1:29" x14ac:dyDescent="0.2">
      <c r="A1156" s="9"/>
      <c r="B1156" s="103">
        <v>-1</v>
      </c>
      <c r="D1156" s="8"/>
      <c r="E1156" s="9"/>
      <c r="F1156" s="36"/>
      <c r="G1156" s="17"/>
      <c r="H1156" s="19"/>
      <c r="J1156" s="8"/>
      <c r="K1156" s="17"/>
      <c r="L1156" s="17"/>
      <c r="M1156" s="17"/>
      <c r="N1156" s="17"/>
      <c r="O1156" s="17"/>
      <c r="P1156" s="17"/>
      <c r="Q1156" s="17"/>
      <c r="R1156" s="38" t="e">
        <f>VLOOKUP((D1157),'Pwr Factor'!$A$1:$B$52,2)</f>
        <v>#N/A</v>
      </c>
      <c r="S1156" s="50">
        <v>0.1</v>
      </c>
      <c r="T1156" s="17"/>
      <c r="U1156" s="17"/>
      <c r="V1156" s="17"/>
      <c r="W1156" s="17"/>
      <c r="X1156" s="17"/>
      <c r="Y1156" s="17"/>
      <c r="Z1156" s="17"/>
      <c r="AA1156" s="17"/>
    </row>
    <row r="1157" spans="1:29" x14ac:dyDescent="0.2">
      <c r="A1157" s="1" t="s">
        <v>164</v>
      </c>
      <c r="B1157" s="103">
        <f>IF(AND('AES Indiana Bill Calc.'!$D$17="HL4",'AES Indiana Bill Calc.'!$D$18="Yes 10%",'AES Indiana Bill Calc.'!$D$20="Yes 2022"),'AES Indiana Bill Calc.'!$D$19,-1)</f>
        <v>-1</v>
      </c>
      <c r="C1157" s="103">
        <f>MAX(E1157,$C$769)</f>
        <v>2000</v>
      </c>
      <c r="D1157" s="103" t="b">
        <f>IF(AND('AES Indiana Bill Calc.'!$D$17="HL4",'AES Indiana Bill Calc.'!$D$18="Yes 10%",'AES Indiana Bill Calc.'!$D$20="Yes 2022"),'AES Indiana Bill Calc.'!$D$22)</f>
        <v>0</v>
      </c>
      <c r="E1157" s="103" t="b">
        <f>IF(AND('AES Indiana Bill Calc.'!$D$17="HL4",'AES Indiana Bill Calc.'!$D$18="Yes 10%",'AES Indiana Bill Calc.'!$D$20="Yes 2022"),'AES Indiana Bill Calc.'!$D$21)</f>
        <v>0</v>
      </c>
      <c r="F1157" s="36" t="s">
        <v>260</v>
      </c>
      <c r="G1157" s="92" t="e">
        <f>SUM(J1157:M1157,R1157:AA1157)</f>
        <v>#N/A</v>
      </c>
      <c r="H1157" s="19" t="e">
        <f>IF(ISBLANK(B1157),0,+#REF!/B1157)</f>
        <v>#REF!</v>
      </c>
      <c r="J1157" s="51">
        <f>IF(ISBLANK(B1157),0,+J$980)</f>
        <v>500</v>
      </c>
      <c r="K1157" s="17">
        <f>ROUND($B1157*K$1086,2)</f>
        <v>-0.06</v>
      </c>
      <c r="L1157" s="17">
        <f>IF(ISBLANK($C1157),0,IF($C1157&lt;$C$981,ROUND($C$981*$L$1086,2),IF($C1157&gt;L$1087,ROUND(L$1087*L$1086,2),ROUND($C1157*L$1086,2))))</f>
        <v>30120</v>
      </c>
      <c r="M1157" s="17">
        <f>IF($C1157&gt;L$877,ROUND(($C1157-L$877)*M$876,2),0)</f>
        <v>0</v>
      </c>
      <c r="N1157" s="17">
        <f>K1157</f>
        <v>-0.06</v>
      </c>
      <c r="O1157" s="17"/>
      <c r="P1157" s="17"/>
      <c r="Q1157" s="17">
        <f>SUM(L1157:M1157)</f>
        <v>30120</v>
      </c>
      <c r="R1157" s="16" t="e">
        <f>ROUND(SUM(K1157:M1157)*(R1156-1),2)</f>
        <v>#N/A</v>
      </c>
      <c r="S1157" s="17">
        <f>ROUND($B1157*S$980*S1156,2)</f>
        <v>0</v>
      </c>
      <c r="T1157" s="17">
        <f>ROUND($B1157*T$1086,2)</f>
        <v>0</v>
      </c>
      <c r="U1157" s="17">
        <f>ROUND($B1157*U$1086,2)</f>
        <v>0</v>
      </c>
      <c r="V1157" s="17">
        <f>ROUND($B1157*V$977,2)</f>
        <v>0</v>
      </c>
      <c r="W1157" s="17">
        <f>ROUND($B1157*W$1086,2)</f>
        <v>0</v>
      </c>
      <c r="X1157" s="17">
        <f>ROUND($B1157*X$1086,2)</f>
        <v>0</v>
      </c>
      <c r="Y1157" s="17">
        <f>ROUND($B1157*Y$1086,2)</f>
        <v>0</v>
      </c>
      <c r="Z1157" s="17">
        <f>ROUND($B1157*Z$1086,2)</f>
        <v>0</v>
      </c>
      <c r="AA1157" s="17">
        <f>ROUND($B1157*AA$1086,2)</f>
        <v>0</v>
      </c>
      <c r="AB1157" s="19">
        <f>SUM(V1120:AA1120)</f>
        <v>0</v>
      </c>
      <c r="AC1157" s="67" t="str">
        <f>+F1157</f>
        <v>HL42</v>
      </c>
    </row>
    <row r="1158" spans="1:29" x14ac:dyDescent="0.2">
      <c r="A1158" s="9"/>
      <c r="B1158" s="103">
        <v>-1</v>
      </c>
      <c r="D1158" s="8"/>
      <c r="E1158" s="9"/>
      <c r="F1158" s="36"/>
      <c r="G1158" s="17"/>
      <c r="H1158" s="19"/>
      <c r="J1158" s="8"/>
      <c r="K1158" s="17"/>
      <c r="L1158" s="17"/>
      <c r="M1158" s="17"/>
      <c r="N1158" s="17"/>
      <c r="O1158" s="17"/>
      <c r="P1158" s="17"/>
      <c r="Q1158" s="17"/>
      <c r="R1158" s="38" t="e">
        <f>VLOOKUP((D1159),'Pwr Factor'!$A$1:$B$52,2)</f>
        <v>#N/A</v>
      </c>
      <c r="S1158" s="50">
        <v>0</v>
      </c>
      <c r="T1158" s="17"/>
      <c r="U1158" s="17"/>
      <c r="V1158" s="17"/>
      <c r="W1158" s="17"/>
      <c r="X1158" s="17"/>
      <c r="Y1158" s="17"/>
      <c r="Z1158" s="17"/>
      <c r="AA1158" s="17"/>
    </row>
    <row r="1159" spans="1:29" x14ac:dyDescent="0.2">
      <c r="A1159" s="1" t="s">
        <v>147</v>
      </c>
      <c r="B1159" s="103">
        <f>IF(AND('AES Indiana Bill Calc.'!$D$17="HL4",'AES Indiana Bill Calc.'!$D$18="No",'AES Indiana Bill Calc.'!$D$20="Yes 2022"),'AES Indiana Bill Calc.'!$D$19,-1)</f>
        <v>-1</v>
      </c>
      <c r="C1159" s="103">
        <f>MAX(E1159,$C$769)</f>
        <v>2000</v>
      </c>
      <c r="D1159" s="103" t="b">
        <f>IF(AND('AES Indiana Bill Calc.'!$D$17="HL4",'AES Indiana Bill Calc.'!$D$18="No",'AES Indiana Bill Calc.'!$D$20="Yes 2022"),'AES Indiana Bill Calc.'!$D$22)</f>
        <v>0</v>
      </c>
      <c r="E1159" s="103" t="b">
        <f>IF(AND('AES Indiana Bill Calc.'!$D$17="HL4",'AES Indiana Bill Calc.'!$D$18="No",'AES Indiana Bill Calc.'!$D$20="Yes 2022"),'AES Indiana Bill Calc.'!$D$21)</f>
        <v>0</v>
      </c>
      <c r="F1159" s="36" t="s">
        <v>260</v>
      </c>
      <c r="G1159" s="92" t="e">
        <f>SUM(J1159:M1159,R1159:AA1159)</f>
        <v>#N/A</v>
      </c>
      <c r="H1159" s="19" t="e">
        <f>IF(ISBLANK(B1159),0,+#REF!/B1159)</f>
        <v>#REF!</v>
      </c>
      <c r="J1159" s="51">
        <f>IF(ISBLANK(B1159),0,+J$980)</f>
        <v>500</v>
      </c>
      <c r="K1159" s="17">
        <f>ROUND($B1159*K$1086,2)</f>
        <v>-0.06</v>
      </c>
      <c r="L1159" s="17">
        <f>IF(ISBLANK($C1159),0,IF($C1159&lt;$C$981,ROUND($C$981*$L$1086,2),IF($C1159&gt;L$1087,ROUND(L$1087*L$1086,2),ROUND($C1159*L$1086,2))))</f>
        <v>30120</v>
      </c>
      <c r="M1159" s="17">
        <f>IF($C1159&gt;L$877,ROUND(($C1159-L$877)*M$876,2),0)</f>
        <v>0</v>
      </c>
      <c r="N1159" s="17">
        <f>K1159</f>
        <v>-0.06</v>
      </c>
      <c r="O1159" s="17"/>
      <c r="P1159" s="17"/>
      <c r="Q1159" s="17">
        <f>SUM(L1159:M1159)</f>
        <v>30120</v>
      </c>
      <c r="R1159" s="16" t="e">
        <f>ROUND(SUM(K1159:M1159)*(R1158-1),2)</f>
        <v>#N/A</v>
      </c>
      <c r="S1159" s="17">
        <f>ROUND($B1159*S$980*S1158,2)</f>
        <v>0</v>
      </c>
      <c r="T1159" s="17">
        <f>ROUND($B1159*T$1086,2)</f>
        <v>0</v>
      </c>
      <c r="U1159" s="17">
        <f>ROUND($B1159*U$1086,2)</f>
        <v>0</v>
      </c>
      <c r="V1159" s="17">
        <f>ROUND($B1159*V$977,2)</f>
        <v>0</v>
      </c>
      <c r="W1159" s="17">
        <f>ROUND($B1159*W$1086,2)</f>
        <v>0</v>
      </c>
      <c r="X1159" s="17">
        <f>ROUND($B1159*X$1086,2)</f>
        <v>0</v>
      </c>
      <c r="Y1159" s="17">
        <f>ROUND($B1159*Y$1086,2)</f>
        <v>0</v>
      </c>
      <c r="Z1159" s="17">
        <f>ROUND($B1159*Z$1086,2)</f>
        <v>0</v>
      </c>
      <c r="AA1159" s="17">
        <f>ROUND($B1159*AA$1086,2)</f>
        <v>0</v>
      </c>
      <c r="AB1159" s="19">
        <f>SUM(V1122:AA1122)</f>
        <v>0</v>
      </c>
      <c r="AC1159" s="67" t="str">
        <f>+F1159</f>
        <v>HL42</v>
      </c>
    </row>
    <row r="1160" spans="1:29" x14ac:dyDescent="0.2">
      <c r="B1160" s="103">
        <v>-1</v>
      </c>
      <c r="D1160" s="8"/>
      <c r="E1160" s="9"/>
      <c r="F1160" s="36"/>
      <c r="G1160" s="17"/>
      <c r="H1160" s="19"/>
      <c r="J1160" s="8"/>
      <c r="K1160" s="17"/>
      <c r="L1160" s="17"/>
      <c r="M1160" s="17"/>
      <c r="N1160" s="17"/>
      <c r="O1160" s="17"/>
      <c r="P1160" s="17"/>
      <c r="Q1160" s="17"/>
      <c r="R1160" s="38" t="e">
        <f>VLOOKUP((D1161),'Pwr Factor'!$A$1:$B$52,2)</f>
        <v>#N/A</v>
      </c>
      <c r="S1160" s="50">
        <v>1</v>
      </c>
      <c r="T1160" s="17"/>
      <c r="U1160" s="17"/>
      <c r="V1160" s="17"/>
      <c r="W1160" s="17"/>
      <c r="X1160" s="17"/>
      <c r="Y1160" s="17"/>
      <c r="Z1160" s="17"/>
      <c r="AA1160" s="17"/>
    </row>
    <row r="1161" spans="1:29" x14ac:dyDescent="0.2">
      <c r="A1161" s="1" t="s">
        <v>148</v>
      </c>
      <c r="B1161" s="103">
        <f>IF(AND('AES Indiana Bill Calc.'!$D$17="HL4",'AES Indiana Bill Calc.'!$D$18="Yes 100%",'AES Indiana Bill Calc.'!$D$20="Yes 2023"),'AES Indiana Bill Calc.'!$D$19,-1)</f>
        <v>-1</v>
      </c>
      <c r="C1161" s="103">
        <f>MAX(E1161,$C$769)</f>
        <v>2000</v>
      </c>
      <c r="D1161" s="103" t="b">
        <f>IF(AND('AES Indiana Bill Calc.'!$D$17="HL4",'AES Indiana Bill Calc.'!$D$18="Yes 100%",'AES Indiana Bill Calc.'!$D$20="Yes 2023"),'AES Indiana Bill Calc.'!$D$22)</f>
        <v>0</v>
      </c>
      <c r="E1161" s="103" t="b">
        <f>IF(AND('AES Indiana Bill Calc.'!$D$17="HL4",'AES Indiana Bill Calc.'!$D$18="Yes 100%",'AES Indiana Bill Calc.'!$D$20="Yes 2023"),'AES Indiana Bill Calc.'!$D$21)</f>
        <v>0</v>
      </c>
      <c r="F1161" s="36" t="s">
        <v>261</v>
      </c>
      <c r="G1161" s="92" t="e">
        <f>SUM(J1161:M1161,R1161:AA1161)</f>
        <v>#N/A</v>
      </c>
      <c r="H1161" s="19" t="e">
        <f>IF(ISBLANK(B1161),0,+#REF!/B1161)</f>
        <v>#REF!</v>
      </c>
      <c r="J1161" s="51">
        <f>IF(ISBLANK(B1161),0,+J$980)</f>
        <v>500</v>
      </c>
      <c r="K1161" s="17">
        <f>ROUND($B1161*K$1086,2)</f>
        <v>-0.06</v>
      </c>
      <c r="L1161" s="17">
        <f>IF(ISBLANK($C1161),0,IF($C1161&lt;$C$981,ROUND($C$981*$L$1086,2),IF($C1161&gt;L$1087,ROUND(L$1087*L$1086,2),ROUND($C1161*L$1086,2))))</f>
        <v>30120</v>
      </c>
      <c r="M1161" s="17">
        <f>IF($C1161&gt;L$877,ROUND(($C1161-L$877)*M$876,2),0)</f>
        <v>0</v>
      </c>
      <c r="N1161" s="17">
        <f>K1161</f>
        <v>-0.06</v>
      </c>
      <c r="O1161" s="17"/>
      <c r="P1161" s="17"/>
      <c r="Q1161" s="17">
        <f>SUM(L1161:M1161)</f>
        <v>30120</v>
      </c>
      <c r="R1161" s="16" t="e">
        <f>ROUND(SUM(K1161:M1161)*(R1160-1),2)</f>
        <v>#N/A</v>
      </c>
      <c r="S1161" s="17">
        <f>ROUND($B1161*S$980*S1160,2)</f>
        <v>0</v>
      </c>
      <c r="T1161" s="17">
        <f>ROUND($B1161*T$1086,2)</f>
        <v>0</v>
      </c>
      <c r="U1161" s="17">
        <f>ROUND($B1161*U$1086,2)</f>
        <v>0</v>
      </c>
      <c r="V1161" s="17">
        <f>ROUND($B1161*V$977,2)</f>
        <v>0</v>
      </c>
      <c r="W1161" s="17">
        <f>ROUND($B1161*W$1086,2)</f>
        <v>0</v>
      </c>
      <c r="X1161" s="17">
        <f>ROUND($B1161*X$1086,2)</f>
        <v>0</v>
      </c>
      <c r="Y1161" s="17">
        <f>ROUND($B1161*Y$1086,2)</f>
        <v>0</v>
      </c>
      <c r="Z1161" s="17">
        <f>ROUND($B1161*Z$1086,2)</f>
        <v>0</v>
      </c>
      <c r="AA1161" s="17">
        <f>ROUND($B1161*AA$1086,2)</f>
        <v>0</v>
      </c>
      <c r="AB1161" s="19">
        <f>SUM(V1124:AA1124)</f>
        <v>0</v>
      </c>
      <c r="AC1161" s="67" t="str">
        <f>+F1161</f>
        <v>HL43</v>
      </c>
    </row>
    <row r="1162" spans="1:29" x14ac:dyDescent="0.2">
      <c r="A1162" s="48"/>
      <c r="B1162" s="103">
        <v>-1</v>
      </c>
      <c r="D1162" s="8"/>
      <c r="E1162" s="9"/>
      <c r="F1162" s="36"/>
      <c r="G1162" s="17"/>
      <c r="H1162" s="19"/>
      <c r="J1162" s="8"/>
      <c r="K1162" s="17"/>
      <c r="L1162" s="17"/>
      <c r="M1162" s="17"/>
      <c r="N1162" s="17"/>
      <c r="O1162" s="17"/>
      <c r="P1162" s="17"/>
      <c r="Q1162" s="17"/>
      <c r="R1162" s="38" t="e">
        <f>VLOOKUP((D1163),'Pwr Factor'!$A$1:$B$52,2)</f>
        <v>#N/A</v>
      </c>
      <c r="S1162" s="50">
        <v>0.5</v>
      </c>
      <c r="T1162" s="17"/>
      <c r="U1162" s="17"/>
      <c r="V1162" s="17"/>
      <c r="W1162" s="17"/>
      <c r="X1162" s="17"/>
      <c r="Y1162" s="17"/>
      <c r="Z1162" s="17"/>
      <c r="AA1162" s="17"/>
    </row>
    <row r="1163" spans="1:29" x14ac:dyDescent="0.2">
      <c r="A1163" s="1" t="s">
        <v>149</v>
      </c>
      <c r="B1163" s="103">
        <f>IF(AND('AES Indiana Bill Calc.'!$D$17="HL4",'AES Indiana Bill Calc.'!$D$18="Yes 50%",'AES Indiana Bill Calc.'!$D$20="Yes 2023"),'AES Indiana Bill Calc.'!$D$19,-1)</f>
        <v>-1</v>
      </c>
      <c r="C1163" s="103">
        <f>MAX(E1163,$C$769)</f>
        <v>2000</v>
      </c>
      <c r="D1163" s="103" t="b">
        <f>IF(AND('AES Indiana Bill Calc.'!$D$17="HL4",'AES Indiana Bill Calc.'!$D$18="Yes 50%",'AES Indiana Bill Calc.'!$D$20="Yes 2023"),'AES Indiana Bill Calc.'!$D$22)</f>
        <v>0</v>
      </c>
      <c r="E1163" s="103" t="b">
        <f>IF(AND('AES Indiana Bill Calc.'!$D$17="HL4",'AES Indiana Bill Calc.'!$D$18="Yes 50%",'AES Indiana Bill Calc.'!$D$20="Yes 2023"),'AES Indiana Bill Calc.'!$D$21)</f>
        <v>0</v>
      </c>
      <c r="F1163" s="36" t="s">
        <v>261</v>
      </c>
      <c r="G1163" s="92" t="e">
        <f>SUM(J1163:M1163,R1163:AA1163)</f>
        <v>#N/A</v>
      </c>
      <c r="H1163" s="19" t="e">
        <f>IF(ISBLANK(B1163),0,+#REF!/B1163)</f>
        <v>#REF!</v>
      </c>
      <c r="J1163" s="51">
        <f>IF(ISBLANK(B1163),0,+J$980)</f>
        <v>500</v>
      </c>
      <c r="K1163" s="17">
        <f>ROUND($B1163*K$1086,2)</f>
        <v>-0.06</v>
      </c>
      <c r="L1163" s="17">
        <f>IF(ISBLANK($C1163),0,IF($C1163&lt;$C$981,ROUND($C$981*$L$1086,2),IF($C1163&gt;L$1087,ROUND(L$1087*L$1086,2),ROUND($C1163*L$1086,2))))</f>
        <v>30120</v>
      </c>
      <c r="M1163" s="17">
        <f>IF($C1163&gt;L$877,ROUND(($C1163-L$877)*M$876,2),0)</f>
        <v>0</v>
      </c>
      <c r="N1163" s="17">
        <f>K1163</f>
        <v>-0.06</v>
      </c>
      <c r="O1163" s="17"/>
      <c r="P1163" s="17"/>
      <c r="Q1163" s="17">
        <f>SUM(L1163:M1163)</f>
        <v>30120</v>
      </c>
      <c r="R1163" s="16" t="e">
        <f>ROUND(SUM(K1163:M1163)*(R1162-1),2)</f>
        <v>#N/A</v>
      </c>
      <c r="S1163" s="17">
        <f>ROUND($B1163*S$980*S1162,2)</f>
        <v>0</v>
      </c>
      <c r="T1163" s="17">
        <f>ROUND($B1163*T$1086,2)</f>
        <v>0</v>
      </c>
      <c r="U1163" s="17">
        <f>ROUND($B1163*U$1086,2)</f>
        <v>0</v>
      </c>
      <c r="V1163" s="17">
        <f>ROUND($B1163*V$977,2)</f>
        <v>0</v>
      </c>
      <c r="W1163" s="17">
        <f>ROUND($B1163*W$1086,2)</f>
        <v>0</v>
      </c>
      <c r="X1163" s="17">
        <f>ROUND($B1163*X$1086,2)</f>
        <v>0</v>
      </c>
      <c r="Y1163" s="17">
        <f>ROUND($B1163*Y$1086,2)</f>
        <v>0</v>
      </c>
      <c r="Z1163" s="17">
        <f>ROUND($B1163*Z$1086,2)</f>
        <v>0</v>
      </c>
      <c r="AA1163" s="17">
        <f>ROUND($B1163*AA$1086,2)</f>
        <v>0</v>
      </c>
      <c r="AB1163" s="19">
        <f>SUM(V1126:AA1126)</f>
        <v>0</v>
      </c>
      <c r="AC1163" s="67" t="str">
        <f>+F1163</f>
        <v>HL43</v>
      </c>
    </row>
    <row r="1164" spans="1:29" x14ac:dyDescent="0.2">
      <c r="A1164" s="9"/>
      <c r="B1164" s="103">
        <v>-1</v>
      </c>
      <c r="D1164" s="8"/>
      <c r="E1164" s="9"/>
      <c r="F1164" s="36"/>
      <c r="G1164" s="17"/>
      <c r="H1164" s="19"/>
      <c r="J1164" s="8"/>
      <c r="K1164" s="17"/>
      <c r="L1164" s="17"/>
      <c r="M1164" s="17"/>
      <c r="N1164" s="17"/>
      <c r="O1164" s="17"/>
      <c r="P1164" s="17"/>
      <c r="Q1164" s="17"/>
      <c r="R1164" s="38" t="e">
        <f>VLOOKUP((D1165),'Pwr Factor'!$A$1:$B$52,2)</f>
        <v>#N/A</v>
      </c>
      <c r="S1164" s="50">
        <v>0.25</v>
      </c>
      <c r="T1164" s="17"/>
      <c r="U1164" s="17"/>
      <c r="V1164" s="17"/>
      <c r="W1164" s="17"/>
      <c r="X1164" s="17"/>
      <c r="Y1164" s="17"/>
      <c r="Z1164" s="17"/>
      <c r="AA1164" s="17"/>
    </row>
    <row r="1165" spans="1:29" x14ac:dyDescent="0.2">
      <c r="A1165" s="1" t="s">
        <v>150</v>
      </c>
      <c r="B1165" s="103">
        <f>IF(AND('AES Indiana Bill Calc.'!$D$17="HL4",'AES Indiana Bill Calc.'!$D$18="Yes 25%",'AES Indiana Bill Calc.'!$D$20="Yes 2023"),'AES Indiana Bill Calc.'!$D$19,-1)</f>
        <v>-1</v>
      </c>
      <c r="C1165" s="103">
        <f>MAX(E1165,$C$769)</f>
        <v>2000</v>
      </c>
      <c r="D1165" s="103" t="b">
        <f>IF(AND('AES Indiana Bill Calc.'!$D$17="HL4",'AES Indiana Bill Calc.'!$D$18="Yes 25%",'AES Indiana Bill Calc.'!$D$20="Yes 2023"),'AES Indiana Bill Calc.'!$D$22)</f>
        <v>0</v>
      </c>
      <c r="E1165" s="103" t="b">
        <f>IF(AND('AES Indiana Bill Calc.'!$D$17="HL4",'AES Indiana Bill Calc.'!$D$18="Yes 25%",'AES Indiana Bill Calc.'!$D$20="Yes 2023"),'AES Indiana Bill Calc.'!$D$21)</f>
        <v>0</v>
      </c>
      <c r="F1165" s="36" t="s">
        <v>261</v>
      </c>
      <c r="G1165" s="92" t="e">
        <f>SUM(J1165:M1165,R1165:AA1165)</f>
        <v>#N/A</v>
      </c>
      <c r="H1165" s="19" t="e">
        <f>IF(ISBLANK(B1165),0,+#REF!/B1165)</f>
        <v>#REF!</v>
      </c>
      <c r="J1165" s="51">
        <f>IF(ISBLANK(B1165),0,+J$980)</f>
        <v>500</v>
      </c>
      <c r="K1165" s="17">
        <f>ROUND($B1165*K$1086,2)</f>
        <v>-0.06</v>
      </c>
      <c r="L1165" s="17">
        <f>IF(ISBLANK($C1165),0,IF($C1165&lt;$C$981,ROUND($C$981*$L$1086,2),IF($C1165&gt;L$1087,ROUND(L$1087*L$1086,2),ROUND($C1165*L$1086,2))))</f>
        <v>30120</v>
      </c>
      <c r="M1165" s="17">
        <f>IF($C1165&gt;L$877,ROUND(($C1165-L$877)*M$876,2),0)</f>
        <v>0</v>
      </c>
      <c r="N1165" s="17">
        <f>K1165</f>
        <v>-0.06</v>
      </c>
      <c r="O1165" s="17"/>
      <c r="P1165" s="17"/>
      <c r="Q1165" s="17">
        <f>SUM(L1165:M1165)</f>
        <v>30120</v>
      </c>
      <c r="R1165" s="16" t="e">
        <f>ROUND(SUM(K1165:M1165)*(R1164-1),2)</f>
        <v>#N/A</v>
      </c>
      <c r="S1165" s="17">
        <f>ROUND($B1165*S$980*S1164,2)</f>
        <v>0</v>
      </c>
      <c r="T1165" s="17">
        <f>ROUND($B1165*T$1086,2)</f>
        <v>0</v>
      </c>
      <c r="U1165" s="17">
        <f>ROUND($B1165*U$1086,2)</f>
        <v>0</v>
      </c>
      <c r="V1165" s="17">
        <f>ROUND($B1165*V$977,2)</f>
        <v>0</v>
      </c>
      <c r="W1165" s="17">
        <f>ROUND($B1165*W$1086,2)</f>
        <v>0</v>
      </c>
      <c r="X1165" s="17">
        <f>ROUND($B1165*X$1086,2)</f>
        <v>0</v>
      </c>
      <c r="Y1165" s="17">
        <f>ROUND($B1165*Y$1086,2)</f>
        <v>0</v>
      </c>
      <c r="Z1165" s="17">
        <f>ROUND($B1165*Z$1086,2)</f>
        <v>0</v>
      </c>
      <c r="AA1165" s="17">
        <f>ROUND($B1165*AA$1086,2)</f>
        <v>0</v>
      </c>
      <c r="AB1165" s="19">
        <f>SUM(V1128:AA1128)</f>
        <v>0</v>
      </c>
      <c r="AC1165" s="67" t="str">
        <f>+F1165</f>
        <v>HL43</v>
      </c>
    </row>
    <row r="1166" spans="1:29" x14ac:dyDescent="0.2">
      <c r="A1166" s="9"/>
      <c r="B1166" s="103">
        <v>-1</v>
      </c>
      <c r="D1166" s="8"/>
      <c r="E1166" s="9"/>
      <c r="F1166" s="36"/>
      <c r="G1166" s="17"/>
      <c r="H1166" s="19"/>
      <c r="J1166" s="8"/>
      <c r="K1166" s="17"/>
      <c r="L1166" s="17"/>
      <c r="M1166" s="17"/>
      <c r="N1166" s="17"/>
      <c r="O1166" s="17"/>
      <c r="P1166" s="17"/>
      <c r="Q1166" s="17"/>
      <c r="R1166" s="38" t="e">
        <f>VLOOKUP((D1167),'Pwr Factor'!$A$1:$B$52,2)</f>
        <v>#N/A</v>
      </c>
      <c r="S1166" s="50">
        <v>0.1</v>
      </c>
      <c r="T1166" s="17"/>
      <c r="U1166" s="17"/>
      <c r="V1166" s="17"/>
      <c r="W1166" s="17"/>
      <c r="X1166" s="17"/>
      <c r="Y1166" s="17"/>
      <c r="Z1166" s="17"/>
      <c r="AA1166" s="17"/>
    </row>
    <row r="1167" spans="1:29" x14ac:dyDescent="0.2">
      <c r="A1167" s="1" t="s">
        <v>164</v>
      </c>
      <c r="B1167" s="103">
        <f>IF(AND('AES Indiana Bill Calc.'!$D$17="HL4",'AES Indiana Bill Calc.'!$D$18="Yes 10%",'AES Indiana Bill Calc.'!$D$20="Yes 2023"),'AES Indiana Bill Calc.'!$D$19,-1)</f>
        <v>-1</v>
      </c>
      <c r="C1167" s="103">
        <f>MAX(E1167,$C$769)</f>
        <v>2000</v>
      </c>
      <c r="D1167" s="103" t="b">
        <f>IF(AND('AES Indiana Bill Calc.'!$D$17="HL4",'AES Indiana Bill Calc.'!$D$18="Yes 10%",'AES Indiana Bill Calc.'!$D$20="Yes 2023"),'AES Indiana Bill Calc.'!$D$22)</f>
        <v>0</v>
      </c>
      <c r="E1167" s="103" t="b">
        <f>IF(AND('AES Indiana Bill Calc.'!$D$17="HL4",'AES Indiana Bill Calc.'!$D$18="Yes 10%",'AES Indiana Bill Calc.'!$D$20="Yes 2023"),'AES Indiana Bill Calc.'!$D$21)</f>
        <v>0</v>
      </c>
      <c r="F1167" s="36" t="s">
        <v>261</v>
      </c>
      <c r="G1167" s="92" t="e">
        <f>SUM(J1167:M1167,R1167:AA1167)</f>
        <v>#N/A</v>
      </c>
      <c r="H1167" s="19" t="e">
        <f>IF(ISBLANK(B1167),0,+#REF!/B1167)</f>
        <v>#REF!</v>
      </c>
      <c r="J1167" s="51">
        <f>IF(ISBLANK(B1167),0,+J$980)</f>
        <v>500</v>
      </c>
      <c r="K1167" s="17">
        <f>ROUND($B1167*K$1086,2)</f>
        <v>-0.06</v>
      </c>
      <c r="L1167" s="17">
        <f>IF(ISBLANK($C1167),0,IF($C1167&lt;$C$981,ROUND($C$981*$L$1086,2),IF($C1167&gt;L$1087,ROUND(L$1087*L$1086,2),ROUND($C1167*L$1086,2))))</f>
        <v>30120</v>
      </c>
      <c r="M1167" s="17">
        <f>IF($C1167&gt;L$877,ROUND(($C1167-L$877)*M$876,2),0)</f>
        <v>0</v>
      </c>
      <c r="N1167" s="17">
        <f>K1167</f>
        <v>-0.06</v>
      </c>
      <c r="O1167" s="17"/>
      <c r="P1167" s="17"/>
      <c r="Q1167" s="17">
        <f>SUM(L1167:M1167)</f>
        <v>30120</v>
      </c>
      <c r="R1167" s="16" t="e">
        <f>ROUND(SUM(K1167:M1167)*(R1166-1),2)</f>
        <v>#N/A</v>
      </c>
      <c r="S1167" s="17">
        <f>ROUND($B1167*S$980*S1166,2)</f>
        <v>0</v>
      </c>
      <c r="T1167" s="17">
        <f>ROUND($B1167*T$1086,2)</f>
        <v>0</v>
      </c>
      <c r="U1167" s="17">
        <f>ROUND($B1167*U$1086,2)</f>
        <v>0</v>
      </c>
      <c r="V1167" s="17">
        <f>ROUND($B1167*V$977,2)</f>
        <v>0</v>
      </c>
      <c r="W1167" s="17">
        <f>ROUND($B1167*W$1086,2)</f>
        <v>0</v>
      </c>
      <c r="X1167" s="17">
        <f>ROUND($B1167*X$1086,2)</f>
        <v>0</v>
      </c>
      <c r="Y1167" s="17">
        <f>ROUND($B1167*Y$1086,2)</f>
        <v>0</v>
      </c>
      <c r="Z1167" s="17">
        <f>ROUND($B1167*Z$1086,2)</f>
        <v>0</v>
      </c>
      <c r="AA1167" s="17">
        <f>ROUND($B1167*AA$1086,2)</f>
        <v>0</v>
      </c>
      <c r="AB1167" s="19">
        <f>SUM(V1130:AA1130)</f>
        <v>0</v>
      </c>
      <c r="AC1167" s="67" t="str">
        <f>+F1167</f>
        <v>HL43</v>
      </c>
    </row>
    <row r="1168" spans="1:29" x14ac:dyDescent="0.2">
      <c r="A1168" s="9"/>
      <c r="B1168" s="103">
        <v>-1</v>
      </c>
      <c r="D1168" s="8"/>
      <c r="E1168" s="9"/>
      <c r="F1168" s="36"/>
      <c r="G1168" s="17"/>
      <c r="H1168" s="19"/>
      <c r="J1168" s="8"/>
      <c r="K1168" s="17"/>
      <c r="L1168" s="17"/>
      <c r="M1168" s="17"/>
      <c r="N1168" s="17"/>
      <c r="O1168" s="17"/>
      <c r="P1168" s="17"/>
      <c r="Q1168" s="17"/>
      <c r="R1168" s="38" t="e">
        <f>VLOOKUP((D1169),'Pwr Factor'!$A$1:$B$52,2)</f>
        <v>#N/A</v>
      </c>
      <c r="S1168" s="50">
        <v>0</v>
      </c>
      <c r="T1168" s="17"/>
      <c r="U1168" s="17"/>
      <c r="V1168" s="17"/>
      <c r="W1168" s="17"/>
      <c r="X1168" s="17"/>
      <c r="Y1168" s="17"/>
      <c r="Z1168" s="17"/>
      <c r="AA1168" s="17"/>
    </row>
    <row r="1169" spans="1:29" x14ac:dyDescent="0.2">
      <c r="A1169" s="1" t="s">
        <v>147</v>
      </c>
      <c r="B1169" s="103">
        <f>IF(AND('AES Indiana Bill Calc.'!$D$17="HL4",'AES Indiana Bill Calc.'!$D$18="No",'AES Indiana Bill Calc.'!$D$20="Yes 2023"),'AES Indiana Bill Calc.'!$D$19,-1)</f>
        <v>-1</v>
      </c>
      <c r="C1169" s="103">
        <f>MAX(E1169,$C$769)</f>
        <v>2000</v>
      </c>
      <c r="D1169" s="103" t="b">
        <f>IF(AND('AES Indiana Bill Calc.'!$D$17="HL4",'AES Indiana Bill Calc.'!$D$18="No",'AES Indiana Bill Calc.'!$D$20="Yes 2023"),'AES Indiana Bill Calc.'!$D$22)</f>
        <v>0</v>
      </c>
      <c r="E1169" s="103" t="b">
        <f>IF(AND('AES Indiana Bill Calc.'!$D$17="HL4",'AES Indiana Bill Calc.'!$D$18="No",'AES Indiana Bill Calc.'!$D$20="Yes 2023"),'AES Indiana Bill Calc.'!$D$21)</f>
        <v>0</v>
      </c>
      <c r="F1169" s="36" t="s">
        <v>261</v>
      </c>
      <c r="G1169" s="92" t="e">
        <f>SUM(J1169:M1169,R1169:AA1169)</f>
        <v>#N/A</v>
      </c>
      <c r="H1169" s="19" t="e">
        <f>IF(ISBLANK(B1169),0,+#REF!/B1169)</f>
        <v>#REF!</v>
      </c>
      <c r="J1169" s="51">
        <f>IF(ISBLANK(B1169),0,+J$980)</f>
        <v>500</v>
      </c>
      <c r="K1169" s="17">
        <f>ROUND($B1169*K$1086,2)</f>
        <v>-0.06</v>
      </c>
      <c r="L1169" s="17">
        <f>IF(ISBLANK($C1169),0,IF($C1169&lt;$C$981,ROUND($C$981*$L$1086,2),IF($C1169&gt;L$1087,ROUND(L$1087*L$1086,2),ROUND($C1169*L$1086,2))))</f>
        <v>30120</v>
      </c>
      <c r="M1169" s="17">
        <f>IF($C1169&gt;L$877,ROUND(($C1169-L$877)*M$876,2),0)</f>
        <v>0</v>
      </c>
      <c r="N1169" s="17">
        <f>K1169</f>
        <v>-0.06</v>
      </c>
      <c r="O1169" s="17"/>
      <c r="P1169" s="17"/>
      <c r="Q1169" s="17">
        <f>SUM(L1169:M1169)</f>
        <v>30120</v>
      </c>
      <c r="R1169" s="16" t="e">
        <f>ROUND(SUM(K1169:M1169)*(R1168-1),2)</f>
        <v>#N/A</v>
      </c>
      <c r="S1169" s="17">
        <f>ROUND($B1169*S$980*S1168,2)</f>
        <v>0</v>
      </c>
      <c r="T1169" s="17">
        <f>ROUND($B1169*T$1086,2)</f>
        <v>0</v>
      </c>
      <c r="U1169" s="17">
        <f>ROUND($B1169*U$1086,2)</f>
        <v>0</v>
      </c>
      <c r="V1169" s="17">
        <f>ROUND($B1169*V$977,2)</f>
        <v>0</v>
      </c>
      <c r="W1169" s="17">
        <f>ROUND($B1169*W$1086,2)</f>
        <v>0</v>
      </c>
      <c r="X1169" s="17">
        <f>ROUND($B1169*X$1086,2)</f>
        <v>0</v>
      </c>
      <c r="Y1169" s="17">
        <f>ROUND($B1169*Y$1086,2)</f>
        <v>0</v>
      </c>
      <c r="Z1169" s="17">
        <f>ROUND($B1169*Z$1086,2)</f>
        <v>0</v>
      </c>
      <c r="AA1169" s="17">
        <f>ROUND($B1169*AA$1086,2)</f>
        <v>0</v>
      </c>
      <c r="AB1169" s="19">
        <f>SUM(V1132:AA1132)</f>
        <v>0</v>
      </c>
      <c r="AC1169" s="67" t="str">
        <f>+F1169</f>
        <v>HL43</v>
      </c>
    </row>
    <row r="1170" spans="1:29" ht="13.5" thickBot="1" x14ac:dyDescent="0.25">
      <c r="A1170" s="21"/>
      <c r="B1170" s="106">
        <v>-1</v>
      </c>
      <c r="C1170" s="106"/>
      <c r="D1170" s="111"/>
      <c r="E1170" s="21"/>
      <c r="F1170" s="21"/>
      <c r="G1170" s="95"/>
      <c r="H1170" s="25"/>
      <c r="I1170" s="21"/>
      <c r="J1170" s="112"/>
      <c r="K1170" s="95"/>
      <c r="L1170" s="95"/>
      <c r="M1170" s="95"/>
      <c r="N1170" s="95"/>
      <c r="O1170" s="95"/>
      <c r="P1170" s="95"/>
      <c r="Q1170" s="95"/>
      <c r="R1170" s="113"/>
      <c r="S1170" s="95"/>
      <c r="T1170" s="95"/>
      <c r="U1170" s="95"/>
      <c r="V1170" s="95"/>
      <c r="W1170" s="95"/>
      <c r="X1170" s="95"/>
      <c r="Y1170" s="95"/>
      <c r="Z1170" s="95"/>
      <c r="AA1170" s="95"/>
      <c r="AB1170" s="25"/>
      <c r="AC1170" s="114"/>
    </row>
    <row r="1171" spans="1:29" x14ac:dyDescent="0.2">
      <c r="B1171" s="103">
        <v>-1</v>
      </c>
      <c r="D1171" s="8"/>
      <c r="E1171" s="9"/>
      <c r="F1171" s="36"/>
      <c r="G1171" s="17"/>
      <c r="H1171" s="19"/>
      <c r="J1171" s="8"/>
      <c r="K1171" s="17"/>
      <c r="L1171" s="17"/>
      <c r="M1171" s="17"/>
      <c r="N1171" s="17"/>
      <c r="O1171" s="17"/>
      <c r="P1171" s="17"/>
      <c r="Q1171" s="17"/>
      <c r="R1171" s="38" t="e">
        <f>VLOOKUP((D1172),'Pwr Factor'!$A$1:$B$52,2)</f>
        <v>#N/A</v>
      </c>
      <c r="S1171" s="50">
        <v>1</v>
      </c>
      <c r="T1171" s="17"/>
      <c r="U1171" s="17"/>
      <c r="V1171" s="17"/>
      <c r="W1171" s="17"/>
      <c r="X1171" s="17"/>
      <c r="Y1171" s="17"/>
      <c r="Z1171" s="17"/>
      <c r="AA1171" s="17"/>
    </row>
    <row r="1172" spans="1:29" x14ac:dyDescent="0.2">
      <c r="A1172" s="1" t="s">
        <v>148</v>
      </c>
      <c r="B1172" s="103">
        <f>IF(AND('AES Indiana Bill Calc.'!$D$17="HL4",'AES Indiana Bill Calc.'!$D$18="Yes 100%",'AES Indiana Bill Calc.'!$D$20="Yes 2024"),'AES Indiana Bill Calc.'!$D$19,-1)</f>
        <v>-1</v>
      </c>
      <c r="C1172" s="103">
        <f>MAX(E1172,$C$769)</f>
        <v>2000</v>
      </c>
      <c r="D1172" s="103" t="b">
        <f>IF(AND('AES Indiana Bill Calc.'!$D$17="HL4",'AES Indiana Bill Calc.'!$D$18="Yes 100%",'AES Indiana Bill Calc.'!$D$20="Yes 2024"),'AES Indiana Bill Calc.'!$D$22)</f>
        <v>0</v>
      </c>
      <c r="E1172" s="103" t="b">
        <f>IF(AND('AES Indiana Bill Calc.'!$D$17="HL4",'AES Indiana Bill Calc.'!$D$18="Yes 100%",'AES Indiana Bill Calc.'!$D$20="Yes 2024"),'AES Indiana Bill Calc.'!$D$21)</f>
        <v>0</v>
      </c>
      <c r="F1172" s="36" t="s">
        <v>299</v>
      </c>
      <c r="G1172" s="92" t="e">
        <f>SUM(J1172:M1172,R1172:AA1172)</f>
        <v>#N/A</v>
      </c>
      <c r="H1172" s="19" t="e">
        <f>IF(ISBLANK(B1172),0,+#REF!/B1172)</f>
        <v>#REF!</v>
      </c>
      <c r="J1172" s="51">
        <f>IF(ISBLANK(B1172),0,+J$980)</f>
        <v>500</v>
      </c>
      <c r="K1172" s="17">
        <f>ROUND($B1172*K$1086,2)</f>
        <v>-0.06</v>
      </c>
      <c r="L1172" s="17">
        <f>IF(ISBLANK($C1172),0,IF($C1172&lt;$C$981,ROUND($C$981*$L$1086,2),IF($C1172&gt;L$1087,ROUND(L$1087*L$1086,2),ROUND($C1172*L$1086,2))))</f>
        <v>30120</v>
      </c>
      <c r="M1172" s="17">
        <f>IF($C1172&gt;L$877,ROUND(($C1172-L$877)*M$876,2),0)</f>
        <v>0</v>
      </c>
      <c r="N1172" s="17">
        <f>K1172</f>
        <v>-0.06</v>
      </c>
      <c r="O1172" s="17"/>
      <c r="P1172" s="17"/>
      <c r="Q1172" s="17">
        <f>SUM(L1172:M1172)</f>
        <v>30120</v>
      </c>
      <c r="R1172" s="16" t="e">
        <f>ROUND(SUM(K1172:M1172)*(R1171-1),2)</f>
        <v>#N/A</v>
      </c>
      <c r="S1172" s="17">
        <f>ROUND($B1172*S$980*S1171,2)</f>
        <v>0</v>
      </c>
      <c r="T1172" s="17">
        <f>ROUND($B1172*T$1086,2)</f>
        <v>0</v>
      </c>
      <c r="U1172" s="17">
        <f>ROUND($B1172*U$1086,2)</f>
        <v>0</v>
      </c>
      <c r="V1172" s="17">
        <f>ROUND($B1172*V$979,2)</f>
        <v>0</v>
      </c>
      <c r="W1172" s="17">
        <f>ROUND($B1172*W$1086,2)</f>
        <v>0</v>
      </c>
      <c r="X1172" s="17">
        <f>ROUND($B1172*X$1086,2)</f>
        <v>0</v>
      </c>
      <c r="Y1172" s="17">
        <f>ROUND($B1172*Y$1086,2)</f>
        <v>0</v>
      </c>
      <c r="Z1172" s="17">
        <f>ROUND($B1172*Z$1086,2)</f>
        <v>0</v>
      </c>
      <c r="AA1172" s="17">
        <f>ROUND($B1172*AA$1086,2)</f>
        <v>0</v>
      </c>
      <c r="AB1172" s="19">
        <f>SUM(V1135:AA1135)</f>
        <v>0</v>
      </c>
      <c r="AC1172" s="67" t="str">
        <f>+F1172</f>
        <v>HL44</v>
      </c>
    </row>
    <row r="1173" spans="1:29" x14ac:dyDescent="0.2">
      <c r="A1173" s="48"/>
      <c r="B1173" s="103">
        <v>-1</v>
      </c>
      <c r="D1173" s="8"/>
      <c r="E1173" s="9"/>
      <c r="F1173" s="36"/>
      <c r="G1173" s="17"/>
      <c r="H1173" s="19"/>
      <c r="J1173" s="8"/>
      <c r="K1173" s="17"/>
      <c r="L1173" s="17"/>
      <c r="M1173" s="17"/>
      <c r="N1173" s="17"/>
      <c r="O1173" s="17"/>
      <c r="P1173" s="17"/>
      <c r="Q1173" s="17"/>
      <c r="R1173" s="38" t="e">
        <f>VLOOKUP((D1174),'Pwr Factor'!$A$1:$B$52,2)</f>
        <v>#N/A</v>
      </c>
      <c r="S1173" s="50">
        <v>0.5</v>
      </c>
      <c r="T1173" s="17"/>
      <c r="U1173" s="17"/>
      <c r="V1173" s="17"/>
      <c r="W1173" s="17"/>
      <c r="X1173" s="17"/>
      <c r="Y1173" s="17"/>
      <c r="Z1173" s="17"/>
      <c r="AA1173" s="17"/>
    </row>
    <row r="1174" spans="1:29" x14ac:dyDescent="0.2">
      <c r="A1174" s="1" t="s">
        <v>149</v>
      </c>
      <c r="B1174" s="103">
        <f>IF(AND('AES Indiana Bill Calc.'!$D$17="HL4",'AES Indiana Bill Calc.'!$D$18="Yes 50%",'AES Indiana Bill Calc.'!$D$20="Yes 2024"),'AES Indiana Bill Calc.'!$D$19,-1)</f>
        <v>-1</v>
      </c>
      <c r="C1174" s="103">
        <f>MAX(E1174,$C$769)</f>
        <v>2000</v>
      </c>
      <c r="D1174" s="103" t="b">
        <f>IF(AND('AES Indiana Bill Calc.'!$D$17="HL4",'AES Indiana Bill Calc.'!$D$18="Yes 50%",'AES Indiana Bill Calc.'!$D$20="Yes 2024"),'AES Indiana Bill Calc.'!$D$22)</f>
        <v>0</v>
      </c>
      <c r="E1174" s="103" t="b">
        <f>IF(AND('AES Indiana Bill Calc.'!$D$17="HL4",'AES Indiana Bill Calc.'!$D$18="Yes 50%",'AES Indiana Bill Calc.'!$D$20="Yes 2024"),'AES Indiana Bill Calc.'!$D$21)</f>
        <v>0</v>
      </c>
      <c r="F1174" s="36" t="s">
        <v>299</v>
      </c>
      <c r="G1174" s="92" t="e">
        <f>SUM(J1174:M1174,R1174:AA1174)</f>
        <v>#N/A</v>
      </c>
      <c r="H1174" s="19" t="e">
        <f>IF(ISBLANK(B1174),0,+#REF!/B1174)</f>
        <v>#REF!</v>
      </c>
      <c r="J1174" s="51">
        <f>IF(ISBLANK(B1174),0,+J$980)</f>
        <v>500</v>
      </c>
      <c r="K1174" s="17">
        <f>ROUND($B1174*K$1086,2)</f>
        <v>-0.06</v>
      </c>
      <c r="L1174" s="17">
        <f>IF(ISBLANK($C1174),0,IF($C1174&lt;$C$981,ROUND($C$981*$L$1086,2),IF($C1174&gt;L$1087,ROUND(L$1087*L$1086,2),ROUND($C1174*L$1086,2))))</f>
        <v>30120</v>
      </c>
      <c r="M1174" s="17">
        <f>IF($C1174&gt;L$877,ROUND(($C1174-L$877)*M$876,2),0)</f>
        <v>0</v>
      </c>
      <c r="N1174" s="17">
        <f>K1174</f>
        <v>-0.06</v>
      </c>
      <c r="O1174" s="17"/>
      <c r="P1174" s="17"/>
      <c r="Q1174" s="17">
        <f>SUM(L1174:M1174)</f>
        <v>30120</v>
      </c>
      <c r="R1174" s="16" t="e">
        <f>ROUND(SUM(K1174:M1174)*(R1173-1),2)</f>
        <v>#N/A</v>
      </c>
      <c r="S1174" s="17">
        <f>ROUND($B1174*S$980*S1173,2)</f>
        <v>0</v>
      </c>
      <c r="T1174" s="17">
        <f>ROUND($B1174*T$1086,2)</f>
        <v>0</v>
      </c>
      <c r="U1174" s="17">
        <f>ROUND($B1174*U$1086,2)</f>
        <v>0</v>
      </c>
      <c r="V1174" s="17">
        <f>ROUND($B1174*V$979,2)</f>
        <v>0</v>
      </c>
      <c r="W1174" s="17">
        <f>ROUND($B1174*W$1086,2)</f>
        <v>0</v>
      </c>
      <c r="X1174" s="17">
        <f>ROUND($B1174*X$1086,2)</f>
        <v>0</v>
      </c>
      <c r="Y1174" s="17">
        <f>ROUND($B1174*Y$1086,2)</f>
        <v>0</v>
      </c>
      <c r="Z1174" s="17">
        <f>ROUND($B1174*Z$1086,2)</f>
        <v>0</v>
      </c>
      <c r="AA1174" s="17">
        <f>ROUND($B1174*AA$1086,2)</f>
        <v>0</v>
      </c>
      <c r="AB1174" s="19">
        <f>SUM(V1137:AA1137)</f>
        <v>0</v>
      </c>
      <c r="AC1174" s="67" t="str">
        <f>+F1174</f>
        <v>HL44</v>
      </c>
    </row>
    <row r="1175" spans="1:29" x14ac:dyDescent="0.2">
      <c r="A1175" s="9"/>
      <c r="B1175" s="103">
        <v>-1</v>
      </c>
      <c r="D1175" s="8"/>
      <c r="E1175" s="9"/>
      <c r="F1175" s="36"/>
      <c r="G1175" s="17"/>
      <c r="H1175" s="19"/>
      <c r="J1175" s="8"/>
      <c r="K1175" s="17"/>
      <c r="L1175" s="17"/>
      <c r="M1175" s="17"/>
      <c r="N1175" s="17"/>
      <c r="O1175" s="17"/>
      <c r="P1175" s="17"/>
      <c r="Q1175" s="17"/>
      <c r="R1175" s="38" t="e">
        <f>VLOOKUP((D1176),'Pwr Factor'!$A$1:$B$52,2)</f>
        <v>#N/A</v>
      </c>
      <c r="S1175" s="50">
        <v>0.25</v>
      </c>
      <c r="T1175" s="17"/>
      <c r="U1175" s="17"/>
      <c r="V1175" s="17"/>
      <c r="W1175" s="17"/>
      <c r="X1175" s="17"/>
      <c r="Y1175" s="17"/>
      <c r="Z1175" s="17"/>
      <c r="AA1175" s="17"/>
    </row>
    <row r="1176" spans="1:29" x14ac:dyDescent="0.2">
      <c r="A1176" s="1" t="s">
        <v>150</v>
      </c>
      <c r="B1176" s="103">
        <f>IF(AND('AES Indiana Bill Calc.'!$D$17="HL4",'AES Indiana Bill Calc.'!$D$18="Yes 25%",'AES Indiana Bill Calc.'!$D$20="Yes 2024"),'AES Indiana Bill Calc.'!$D$19,-1)</f>
        <v>-1</v>
      </c>
      <c r="C1176" s="103">
        <f>MAX(E1176,$C$769)</f>
        <v>2000</v>
      </c>
      <c r="D1176" s="103" t="b">
        <f>IF(AND('AES Indiana Bill Calc.'!$D$17="HL4",'AES Indiana Bill Calc.'!$D$18="Yes 25%",'AES Indiana Bill Calc.'!$D$20="Yes 2024"),'AES Indiana Bill Calc.'!$D$22)</f>
        <v>0</v>
      </c>
      <c r="E1176" s="103" t="b">
        <f>IF(AND('AES Indiana Bill Calc.'!$D$17="HL4",'AES Indiana Bill Calc.'!$D$18="Yes 25%",'AES Indiana Bill Calc.'!$D$20="Yes 2024"),'AES Indiana Bill Calc.'!$D$21)</f>
        <v>0</v>
      </c>
      <c r="F1176" s="36" t="s">
        <v>299</v>
      </c>
      <c r="G1176" s="92" t="e">
        <f>SUM(J1176:M1176,R1176:AA1176)</f>
        <v>#N/A</v>
      </c>
      <c r="H1176" s="19" t="e">
        <f>IF(ISBLANK(B1176),0,+#REF!/B1176)</f>
        <v>#REF!</v>
      </c>
      <c r="J1176" s="51">
        <f>IF(ISBLANK(B1176),0,+J$980)</f>
        <v>500</v>
      </c>
      <c r="K1176" s="17">
        <f>ROUND($B1176*K$1086,2)</f>
        <v>-0.06</v>
      </c>
      <c r="L1176" s="17">
        <f>IF(ISBLANK($C1176),0,IF($C1176&lt;$C$981,ROUND($C$981*$L$1086,2),IF($C1176&gt;L$1087,ROUND(L$1087*L$1086,2),ROUND($C1176*L$1086,2))))</f>
        <v>30120</v>
      </c>
      <c r="M1176" s="17">
        <f>IF($C1176&gt;L$877,ROUND(($C1176-L$877)*M$876,2),0)</f>
        <v>0</v>
      </c>
      <c r="N1176" s="17">
        <f>K1176</f>
        <v>-0.06</v>
      </c>
      <c r="O1176" s="17"/>
      <c r="P1176" s="17"/>
      <c r="Q1176" s="17">
        <f>SUM(L1176:M1176)</f>
        <v>30120</v>
      </c>
      <c r="R1176" s="16" t="e">
        <f>ROUND(SUM(K1176:M1176)*(R1175-1),2)</f>
        <v>#N/A</v>
      </c>
      <c r="S1176" s="17">
        <f>ROUND($B1176*S$980*S1175,2)</f>
        <v>0</v>
      </c>
      <c r="T1176" s="17">
        <f>ROUND($B1176*T$1086,2)</f>
        <v>0</v>
      </c>
      <c r="U1176" s="17">
        <f>ROUND($B1176*U$1086,2)</f>
        <v>0</v>
      </c>
      <c r="V1176" s="17">
        <f>ROUND($B1176*V$979,2)</f>
        <v>0</v>
      </c>
      <c r="W1176" s="17">
        <f>ROUND($B1176*W$1086,2)</f>
        <v>0</v>
      </c>
      <c r="X1176" s="17">
        <f>ROUND($B1176*X$1086,2)</f>
        <v>0</v>
      </c>
      <c r="Y1176" s="17">
        <f>ROUND($B1176*Y$1086,2)</f>
        <v>0</v>
      </c>
      <c r="Z1176" s="17">
        <f>ROUND($B1176*Z$1086,2)</f>
        <v>0</v>
      </c>
      <c r="AA1176" s="17">
        <f>ROUND($B1176*AA$1086,2)</f>
        <v>0</v>
      </c>
      <c r="AB1176" s="19">
        <f>SUM(V1139:AA1139)</f>
        <v>0</v>
      </c>
      <c r="AC1176" s="67" t="str">
        <f>+F1176</f>
        <v>HL44</v>
      </c>
    </row>
    <row r="1177" spans="1:29" x14ac:dyDescent="0.2">
      <c r="A1177" s="9"/>
      <c r="B1177" s="103">
        <v>-1</v>
      </c>
      <c r="D1177" s="8"/>
      <c r="E1177" s="9"/>
      <c r="F1177" s="36"/>
      <c r="G1177" s="17"/>
      <c r="H1177" s="19"/>
      <c r="J1177" s="8"/>
      <c r="K1177" s="17"/>
      <c r="L1177" s="17"/>
      <c r="M1177" s="17"/>
      <c r="N1177" s="17"/>
      <c r="O1177" s="17"/>
      <c r="P1177" s="17"/>
      <c r="Q1177" s="17"/>
      <c r="R1177" s="38" t="e">
        <f>VLOOKUP((D1178),'Pwr Factor'!$A$1:$B$52,2)</f>
        <v>#N/A</v>
      </c>
      <c r="S1177" s="50">
        <v>0.1</v>
      </c>
      <c r="T1177" s="17"/>
      <c r="U1177" s="17"/>
      <c r="V1177" s="17"/>
      <c r="W1177" s="17"/>
      <c r="X1177" s="17"/>
      <c r="Y1177" s="17"/>
      <c r="Z1177" s="17"/>
      <c r="AA1177" s="17"/>
    </row>
    <row r="1178" spans="1:29" x14ac:dyDescent="0.2">
      <c r="A1178" s="1" t="s">
        <v>164</v>
      </c>
      <c r="B1178" s="103">
        <f>IF(AND('AES Indiana Bill Calc.'!$D$17="HL4",'AES Indiana Bill Calc.'!$D$18="Yes 10%",'AES Indiana Bill Calc.'!$D$20="Yes 2024"),'AES Indiana Bill Calc.'!$D$19,-1)</f>
        <v>-1</v>
      </c>
      <c r="C1178" s="103">
        <f>MAX(E1178,$C$769)</f>
        <v>2000</v>
      </c>
      <c r="D1178" s="103" t="b">
        <f>IF(AND('AES Indiana Bill Calc.'!$D$17="HL4",'AES Indiana Bill Calc.'!$D$18="Yes 10%",'AES Indiana Bill Calc.'!$D$20="Yes 2024"),'AES Indiana Bill Calc.'!$D$22)</f>
        <v>0</v>
      </c>
      <c r="E1178" s="103" t="b">
        <f>IF(AND('AES Indiana Bill Calc.'!$D$17="HL4",'AES Indiana Bill Calc.'!$D$18="Yes 10%",'AES Indiana Bill Calc.'!$D$20="Yes 2024"),'AES Indiana Bill Calc.'!$D$21)</f>
        <v>0</v>
      </c>
      <c r="F1178" s="36" t="s">
        <v>299</v>
      </c>
      <c r="G1178" s="92" t="e">
        <f>SUM(J1178:M1178,R1178:AA1178)</f>
        <v>#N/A</v>
      </c>
      <c r="H1178" s="19" t="e">
        <f>IF(ISBLANK(B1178),0,+#REF!/B1178)</f>
        <v>#REF!</v>
      </c>
      <c r="J1178" s="51">
        <f>IF(ISBLANK(B1178),0,+J$980)</f>
        <v>500</v>
      </c>
      <c r="K1178" s="17">
        <f>ROUND($B1178*K$1086,2)</f>
        <v>-0.06</v>
      </c>
      <c r="L1178" s="17">
        <f>IF(ISBLANK($C1178),0,IF($C1178&lt;$C$981,ROUND($C$981*$L$1086,2),IF($C1178&gt;L$1087,ROUND(L$1087*L$1086,2),ROUND($C1178*L$1086,2))))</f>
        <v>30120</v>
      </c>
      <c r="M1178" s="17">
        <f>IF($C1178&gt;L$877,ROUND(($C1178-L$877)*M$876,2),0)</f>
        <v>0</v>
      </c>
      <c r="N1178" s="17">
        <f>K1178</f>
        <v>-0.06</v>
      </c>
      <c r="O1178" s="17"/>
      <c r="P1178" s="17"/>
      <c r="Q1178" s="17">
        <f>SUM(L1178:M1178)</f>
        <v>30120</v>
      </c>
      <c r="R1178" s="16" t="e">
        <f>ROUND(SUM(K1178:M1178)*(R1177-1),2)</f>
        <v>#N/A</v>
      </c>
      <c r="S1178" s="17">
        <f>ROUND($B1178*S$980*S1177,2)</f>
        <v>0</v>
      </c>
      <c r="T1178" s="17">
        <f>ROUND($B1178*T$1086,2)</f>
        <v>0</v>
      </c>
      <c r="U1178" s="17">
        <f>ROUND($B1178*U$1086,2)</f>
        <v>0</v>
      </c>
      <c r="V1178" s="17">
        <f>ROUND($B1178*V$979,2)</f>
        <v>0</v>
      </c>
      <c r="W1178" s="17">
        <f>ROUND($B1178*W$1086,2)</f>
        <v>0</v>
      </c>
      <c r="X1178" s="17">
        <f>ROUND($B1178*X$1086,2)</f>
        <v>0</v>
      </c>
      <c r="Y1178" s="17">
        <f>ROUND($B1178*Y$1086,2)</f>
        <v>0</v>
      </c>
      <c r="Z1178" s="17">
        <f>ROUND($B1178*Z$1086,2)</f>
        <v>0</v>
      </c>
      <c r="AA1178" s="17">
        <f>ROUND($B1178*AA$1086,2)</f>
        <v>0</v>
      </c>
      <c r="AB1178" s="19">
        <f>SUM(V1141:AA1141)</f>
        <v>0</v>
      </c>
      <c r="AC1178" s="67" t="str">
        <f>+F1178</f>
        <v>HL44</v>
      </c>
    </row>
    <row r="1179" spans="1:29" x14ac:dyDescent="0.2">
      <c r="A1179" s="9"/>
      <c r="B1179" s="103">
        <v>-1</v>
      </c>
      <c r="D1179" s="8"/>
      <c r="E1179" s="9"/>
      <c r="F1179" s="36"/>
      <c r="G1179" s="17"/>
      <c r="H1179" s="19"/>
      <c r="J1179" s="8"/>
      <c r="K1179" s="17"/>
      <c r="L1179" s="17"/>
      <c r="M1179" s="17"/>
      <c r="N1179" s="17"/>
      <c r="O1179" s="17"/>
      <c r="P1179" s="17"/>
      <c r="Q1179" s="17"/>
      <c r="R1179" s="38" t="e">
        <f>VLOOKUP((D1180),'Pwr Factor'!$A$1:$B$52,2)</f>
        <v>#N/A</v>
      </c>
      <c r="S1179" s="50">
        <v>0</v>
      </c>
      <c r="T1179" s="17"/>
      <c r="U1179" s="17"/>
      <c r="V1179" s="17"/>
      <c r="W1179" s="17"/>
      <c r="X1179" s="17"/>
      <c r="Y1179" s="17"/>
      <c r="Z1179" s="17"/>
      <c r="AA1179" s="17"/>
    </row>
    <row r="1180" spans="1:29" x14ac:dyDescent="0.2">
      <c r="A1180" s="1" t="s">
        <v>147</v>
      </c>
      <c r="B1180" s="103">
        <f>IF(AND('AES Indiana Bill Calc.'!$D$17="HL4",'AES Indiana Bill Calc.'!$D$18="No",'AES Indiana Bill Calc.'!$D$20="Yes 2024"),'AES Indiana Bill Calc.'!$D$19,-1)</f>
        <v>-1</v>
      </c>
      <c r="C1180" s="103">
        <f>MAX(E1180,$C$769)</f>
        <v>2000</v>
      </c>
      <c r="D1180" s="103" t="b">
        <f>IF(AND('AES Indiana Bill Calc.'!$D$17="HL4",'AES Indiana Bill Calc.'!$D$18="No",'AES Indiana Bill Calc.'!$D$20="Yes 2024"),'AES Indiana Bill Calc.'!$D$22)</f>
        <v>0</v>
      </c>
      <c r="E1180" s="103" t="b">
        <f>IF(AND('AES Indiana Bill Calc.'!$D$17="HL4",'AES Indiana Bill Calc.'!$D$18="No",'AES Indiana Bill Calc.'!$D$20="Yes 2024"),'AES Indiana Bill Calc.'!$D$21)</f>
        <v>0</v>
      </c>
      <c r="F1180" s="36" t="s">
        <v>299</v>
      </c>
      <c r="G1180" s="92" t="e">
        <f>SUM(J1180:M1180,R1180:AA1180)</f>
        <v>#N/A</v>
      </c>
      <c r="H1180" s="19" t="e">
        <f>IF(ISBLANK(B1180),0,+#REF!/B1180)</f>
        <v>#REF!</v>
      </c>
      <c r="J1180" s="51">
        <f>IF(ISBLANK(B1180),0,+J$980)</f>
        <v>500</v>
      </c>
      <c r="K1180" s="17">
        <f>ROUND($B1180*K$1086,2)</f>
        <v>-0.06</v>
      </c>
      <c r="L1180" s="17">
        <f>IF(ISBLANK($C1180),0,IF($C1180&lt;$C$981,ROUND($C$981*$L$1086,2),IF($C1180&gt;L$1087,ROUND(L$1087*L$1086,2),ROUND($C1180*L$1086,2))))</f>
        <v>30120</v>
      </c>
      <c r="M1180" s="17">
        <f>IF($C1180&gt;L$877,ROUND(($C1180-L$877)*M$876,2),0)</f>
        <v>0</v>
      </c>
      <c r="N1180" s="17">
        <f>K1180</f>
        <v>-0.06</v>
      </c>
      <c r="O1180" s="17"/>
      <c r="P1180" s="17"/>
      <c r="Q1180" s="17">
        <f>SUM(L1180:M1180)</f>
        <v>30120</v>
      </c>
      <c r="R1180" s="16" t="e">
        <f>ROUND(SUM(K1180:M1180)*(R1179-1),2)</f>
        <v>#N/A</v>
      </c>
      <c r="S1180" s="17">
        <f>ROUND($B1180*S$980*S1179,2)</f>
        <v>0</v>
      </c>
      <c r="T1180" s="17">
        <f>ROUND($B1180*T$1086,2)</f>
        <v>0</v>
      </c>
      <c r="U1180" s="17">
        <f>ROUND($B1180*U$1086,2)</f>
        <v>0</v>
      </c>
      <c r="V1180" s="17">
        <f>ROUND($B1180*V$979,2)</f>
        <v>0</v>
      </c>
      <c r="W1180" s="17">
        <f>ROUND($B1180*W$1086,2)</f>
        <v>0</v>
      </c>
      <c r="X1180" s="17">
        <f>ROUND($B1180*X$1086,2)</f>
        <v>0</v>
      </c>
      <c r="Y1180" s="17">
        <f>ROUND($B1180*Y$1086,2)</f>
        <v>0</v>
      </c>
      <c r="Z1180" s="17">
        <f>ROUND($B1180*Z$1086,2)</f>
        <v>0</v>
      </c>
      <c r="AA1180" s="17">
        <f>ROUND($B1180*AA$1086,2)</f>
        <v>0</v>
      </c>
      <c r="AB1180" s="19">
        <f>SUM(V1143:AA1143)</f>
        <v>0</v>
      </c>
      <c r="AC1180" s="67" t="str">
        <f>+F1180</f>
        <v>HL44</v>
      </c>
    </row>
    <row r="1181" spans="1:29" s="167" customFormat="1" ht="13.5" thickBot="1" x14ac:dyDescent="0.25">
      <c r="A1181" s="175"/>
      <c r="B1181" s="106">
        <v>-1</v>
      </c>
      <c r="C1181" s="106"/>
      <c r="D1181" s="111"/>
      <c r="E1181" s="175"/>
      <c r="F1181" s="175"/>
      <c r="G1181" s="95"/>
      <c r="H1181" s="176"/>
      <c r="I1181" s="175"/>
      <c r="J1181" s="112"/>
      <c r="K1181" s="95"/>
      <c r="L1181" s="95"/>
      <c r="M1181" s="95"/>
      <c r="N1181" s="95"/>
      <c r="O1181" s="95"/>
      <c r="P1181" s="95"/>
      <c r="Q1181" s="95"/>
      <c r="R1181" s="113"/>
      <c r="S1181" s="95"/>
      <c r="T1181" s="95"/>
      <c r="U1181" s="95"/>
      <c r="V1181" s="95"/>
      <c r="W1181" s="95"/>
      <c r="X1181" s="95"/>
      <c r="Y1181" s="95"/>
      <c r="Z1181" s="95"/>
      <c r="AA1181" s="95"/>
      <c r="AB1181" s="176"/>
      <c r="AC1181" s="114"/>
    </row>
    <row r="1182" spans="1:29" x14ac:dyDescent="0.2">
      <c r="B1182" s="103"/>
    </row>
    <row r="1183" spans="1:29" x14ac:dyDescent="0.2">
      <c r="B1183" s="103"/>
    </row>
    <row r="1184" spans="1:29" x14ac:dyDescent="0.2">
      <c r="A1184" s="12"/>
      <c r="B1184" s="153"/>
      <c r="C1184" s="12"/>
      <c r="D1184" s="12"/>
      <c r="F1184" s="12"/>
      <c r="G1184" s="12"/>
      <c r="H1184" s="12"/>
      <c r="I1184" s="154"/>
      <c r="J1184" s="12"/>
      <c r="K1184" s="12"/>
      <c r="L1184" s="12"/>
      <c r="M1184" s="12"/>
      <c r="N1184" s="12"/>
      <c r="O1184" s="12"/>
      <c r="P1184" s="12"/>
      <c r="Q1184" s="12"/>
      <c r="R1184" s="12"/>
      <c r="S1184" s="12"/>
      <c r="T1184" s="12"/>
      <c r="U1184" s="143"/>
      <c r="V1184" s="143"/>
      <c r="W1184" s="143"/>
      <c r="X1184" s="209"/>
      <c r="Y1184" s="209"/>
    </row>
    <row r="1185" spans="1:25" x14ac:dyDescent="0.2">
      <c r="A1185" s="12"/>
      <c r="B1185" s="153"/>
      <c r="C1185" s="12"/>
      <c r="D1185" s="12"/>
      <c r="F1185" s="12"/>
      <c r="G1185" s="12"/>
      <c r="J1185" s="12"/>
      <c r="K1185" s="12"/>
      <c r="L1185" s="12"/>
      <c r="M1185" s="12"/>
      <c r="N1185" s="12"/>
      <c r="O1185" s="12"/>
      <c r="P1185" s="12"/>
      <c r="Q1185" s="12"/>
      <c r="R1185" s="12"/>
      <c r="S1185" s="12"/>
      <c r="T1185" s="12"/>
      <c r="U1185" s="12"/>
      <c r="V1185" s="12"/>
      <c r="W1185" s="12"/>
      <c r="X1185" s="81"/>
      <c r="Y1185" s="81"/>
    </row>
    <row r="1186" spans="1:25" x14ac:dyDescent="0.2">
      <c r="A1186" s="155"/>
      <c r="B1186" s="156"/>
      <c r="C1186" s="36"/>
      <c r="D1186" s="42"/>
      <c r="F1186" s="18"/>
      <c r="G1186" s="41"/>
      <c r="H1186" s="157"/>
      <c r="I1186" s="80"/>
      <c r="J1186" s="18"/>
      <c r="K1186" s="18"/>
      <c r="L1186" s="18"/>
      <c r="M1186" s="18"/>
      <c r="N1186" s="18"/>
      <c r="O1186" s="18"/>
      <c r="P1186" s="18"/>
      <c r="Q1186" s="18"/>
      <c r="R1186" s="18"/>
      <c r="S1186" s="18"/>
      <c r="T1186" s="18"/>
      <c r="U1186" s="18"/>
      <c r="V1186" s="18"/>
      <c r="W1186" s="18"/>
      <c r="X1186" s="210"/>
      <c r="Y1186" s="210"/>
    </row>
    <row r="1187" spans="1:25" x14ac:dyDescent="0.2">
      <c r="A1187" s="155"/>
      <c r="B1187" s="156"/>
      <c r="C1187" s="36"/>
      <c r="D1187" s="42"/>
      <c r="F1187" s="18"/>
      <c r="G1187" s="41"/>
      <c r="H1187" s="157"/>
      <c r="I1187" s="80"/>
      <c r="J1187" s="18"/>
      <c r="K1187" s="18"/>
      <c r="L1187" s="18"/>
      <c r="M1187" s="18"/>
      <c r="N1187" s="18"/>
      <c r="O1187" s="18"/>
      <c r="P1187" s="18"/>
      <c r="Q1187" s="18"/>
      <c r="R1187" s="18"/>
      <c r="S1187" s="18"/>
      <c r="T1187" s="18"/>
      <c r="U1187" s="18"/>
      <c r="V1187" s="18"/>
      <c r="W1187" s="18"/>
      <c r="X1187" s="83"/>
      <c r="Y1187" s="83"/>
    </row>
    <row r="1188" spans="1:25" x14ac:dyDescent="0.2">
      <c r="A1188" s="155"/>
      <c r="B1188" s="156"/>
      <c r="C1188" s="36"/>
      <c r="D1188" s="42"/>
      <c r="F1188" s="18"/>
      <c r="G1188" s="41"/>
      <c r="H1188" s="157"/>
      <c r="I1188" s="80"/>
      <c r="J1188" s="18"/>
      <c r="K1188" s="18"/>
      <c r="L1188" s="18"/>
      <c r="M1188" s="18"/>
      <c r="N1188" s="18"/>
      <c r="O1188" s="18"/>
      <c r="P1188" s="18"/>
      <c r="Q1188" s="18"/>
      <c r="R1188" s="18"/>
      <c r="S1188" s="18"/>
      <c r="T1188" s="18"/>
      <c r="U1188" s="18"/>
      <c r="V1188" s="18"/>
      <c r="W1188" s="18"/>
      <c r="X1188" s="83"/>
      <c r="Y1188" s="83"/>
    </row>
    <row r="1189" spans="1:25" x14ac:dyDescent="0.2">
      <c r="B1189" s="40"/>
      <c r="C1189" s="40"/>
      <c r="X1189" s="208"/>
      <c r="Y1189" s="208"/>
    </row>
    <row r="1190" spans="1:25" x14ac:dyDescent="0.2">
      <c r="B1190" s="40"/>
      <c r="C1190" s="40"/>
    </row>
  </sheetData>
  <mergeCells count="19">
    <mergeCell ref="X1189:Y1189"/>
    <mergeCell ref="L773:M773"/>
    <mergeCell ref="L878:M878"/>
    <mergeCell ref="L982:M982"/>
    <mergeCell ref="L1088:M1088"/>
    <mergeCell ref="X1184:Y1184"/>
    <mergeCell ref="X1186:Y1186"/>
    <mergeCell ref="K668:L668"/>
    <mergeCell ref="B2:E2"/>
    <mergeCell ref="K42:L42"/>
    <mergeCell ref="K58:M58"/>
    <mergeCell ref="K72:M72"/>
    <mergeCell ref="K95:L95"/>
    <mergeCell ref="K201:L201"/>
    <mergeCell ref="K307:L307"/>
    <mergeCell ref="K404:L404"/>
    <mergeCell ref="K422:L422"/>
    <mergeCell ref="K438:L438"/>
    <mergeCell ref="L566:M566"/>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295" max="16383" man="1"/>
    <brk id="5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B43" sqref="B43"/>
    </sheetView>
  </sheetViews>
  <sheetFormatPr defaultRowHeight="12.75" x14ac:dyDescent="0.2"/>
  <cols>
    <col min="1" max="1" width="12" bestFit="1" customWidth="1"/>
    <col min="2" max="2" width="9.5703125" bestFit="1" customWidth="1"/>
  </cols>
  <sheetData>
    <row r="1" spans="1:2" x14ac:dyDescent="0.2">
      <c r="A1" t="s">
        <v>31</v>
      </c>
      <c r="B1" s="1" t="s">
        <v>195</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pane="topRight" activeCell="C1" sqref="C1"/>
      <selection pane="bottomLeft" activeCell="A4" sqref="A4"/>
      <selection pane="bottomRight" activeCell="ET20" sqref="ET20:ET21"/>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39"/>
      <c r="B2" s="39"/>
      <c r="C2" s="39">
        <v>2007</v>
      </c>
      <c r="D2" s="39"/>
      <c r="L2">
        <v>2008</v>
      </c>
      <c r="M2" t="s">
        <v>262</v>
      </c>
      <c r="O2">
        <v>2008</v>
      </c>
      <c r="P2" t="s">
        <v>263</v>
      </c>
      <c r="R2">
        <v>2008</v>
      </c>
      <c r="S2" t="s">
        <v>264</v>
      </c>
      <c r="U2">
        <v>2008</v>
      </c>
      <c r="V2" t="s">
        <v>265</v>
      </c>
      <c r="X2" s="10">
        <v>2009</v>
      </c>
      <c r="Y2" t="s">
        <v>262</v>
      </c>
      <c r="AA2">
        <f>+X2</f>
        <v>2009</v>
      </c>
      <c r="AB2" t="s">
        <v>263</v>
      </c>
      <c r="AD2">
        <f>+AA2</f>
        <v>2009</v>
      </c>
      <c r="AE2" t="s">
        <v>264</v>
      </c>
      <c r="AG2">
        <f>+AD2</f>
        <v>2009</v>
      </c>
      <c r="AH2" t="s">
        <v>265</v>
      </c>
      <c r="AJ2" s="56"/>
      <c r="AK2" s="158">
        <v>2015</v>
      </c>
      <c r="AL2" s="158" t="s">
        <v>266</v>
      </c>
      <c r="AM2" s="57"/>
      <c r="AN2" s="56"/>
      <c r="AO2" s="158">
        <v>2015</v>
      </c>
      <c r="AP2" s="158" t="s">
        <v>267</v>
      </c>
      <c r="AQ2" s="57"/>
      <c r="AR2" s="56"/>
      <c r="AS2" s="158">
        <v>2015</v>
      </c>
      <c r="AT2" s="158" t="s">
        <v>268</v>
      </c>
      <c r="AU2" s="57"/>
      <c r="AV2" s="56"/>
      <c r="AW2" s="158">
        <v>2015</v>
      </c>
      <c r="AX2" s="158" t="s">
        <v>269</v>
      </c>
      <c r="AY2" s="57"/>
      <c r="AZ2" s="56"/>
      <c r="BA2" s="158">
        <v>2015</v>
      </c>
      <c r="BB2" s="158" t="s">
        <v>270</v>
      </c>
      <c r="BC2" s="57"/>
      <c r="BD2" s="56"/>
      <c r="BE2" s="158">
        <v>2015</v>
      </c>
      <c r="BF2" s="158" t="s">
        <v>271</v>
      </c>
      <c r="BG2" s="57"/>
      <c r="BH2" s="56"/>
      <c r="BI2" s="158">
        <v>2015</v>
      </c>
      <c r="BJ2" s="158" t="s">
        <v>265</v>
      </c>
      <c r="BK2" s="57"/>
      <c r="BL2" s="56"/>
      <c r="BM2" s="158">
        <v>2016</v>
      </c>
      <c r="BN2" s="158" t="s">
        <v>272</v>
      </c>
      <c r="BO2" s="57"/>
      <c r="BP2" s="56"/>
      <c r="BQ2" s="158">
        <v>2016</v>
      </c>
      <c r="BR2" s="158" t="s">
        <v>273</v>
      </c>
      <c r="BS2" s="57"/>
      <c r="BT2" s="56"/>
      <c r="BU2" s="158">
        <v>2016</v>
      </c>
      <c r="BV2" s="158" t="s">
        <v>274</v>
      </c>
      <c r="BW2" s="57"/>
      <c r="BX2" s="56"/>
      <c r="BY2" s="68">
        <v>2016</v>
      </c>
      <c r="BZ2" s="158" t="s">
        <v>275</v>
      </c>
      <c r="CA2" s="57"/>
      <c r="CB2" s="56"/>
      <c r="CC2" s="68">
        <v>2016</v>
      </c>
      <c r="CD2" s="158" t="s">
        <v>276</v>
      </c>
      <c r="CE2" s="57"/>
      <c r="CF2" s="56"/>
      <c r="CG2" s="68">
        <v>2016</v>
      </c>
      <c r="CH2" s="158" t="s">
        <v>266</v>
      </c>
      <c r="CI2" s="57"/>
      <c r="CJ2" s="56"/>
      <c r="CK2" s="68">
        <v>2016</v>
      </c>
      <c r="CL2" s="158" t="s">
        <v>267</v>
      </c>
      <c r="CM2" s="57"/>
      <c r="CN2" s="56"/>
      <c r="CO2" s="68">
        <v>2016</v>
      </c>
      <c r="CP2" s="158" t="s">
        <v>268</v>
      </c>
      <c r="CQ2" s="57"/>
      <c r="CR2" s="56"/>
      <c r="CS2" s="68">
        <v>2016</v>
      </c>
      <c r="CT2" s="158" t="s">
        <v>264</v>
      </c>
      <c r="CU2" s="57"/>
      <c r="CV2" s="56"/>
      <c r="CW2" s="68">
        <v>2016</v>
      </c>
      <c r="CX2" s="158" t="s">
        <v>270</v>
      </c>
      <c r="CY2" s="57"/>
      <c r="CZ2" s="56"/>
      <c r="DA2" s="68">
        <v>2016</v>
      </c>
      <c r="DB2" s="158" t="s">
        <v>271</v>
      </c>
      <c r="DC2" s="57"/>
      <c r="DD2" s="56"/>
      <c r="DE2" s="68">
        <v>2016</v>
      </c>
      <c r="DF2" s="158" t="s">
        <v>265</v>
      </c>
      <c r="DG2" s="57"/>
      <c r="DH2" s="56"/>
      <c r="DI2" s="68">
        <v>2017</v>
      </c>
      <c r="DJ2" s="158" t="s">
        <v>272</v>
      </c>
      <c r="DK2" s="57"/>
      <c r="DL2" s="56"/>
      <c r="DM2" s="68">
        <v>2017</v>
      </c>
      <c r="DN2" s="158" t="s">
        <v>273</v>
      </c>
      <c r="DO2" s="57"/>
      <c r="DP2" s="56"/>
      <c r="DQ2" s="68">
        <v>2017</v>
      </c>
      <c r="DR2" s="158" t="s">
        <v>274</v>
      </c>
      <c r="DS2" s="57"/>
      <c r="DT2" s="56"/>
      <c r="DU2" s="68">
        <v>2019</v>
      </c>
      <c r="DV2" s="158" t="s">
        <v>274</v>
      </c>
      <c r="DW2" s="57"/>
      <c r="DX2" s="56"/>
      <c r="DY2" s="68">
        <v>2019</v>
      </c>
      <c r="DZ2" s="158" t="s">
        <v>275</v>
      </c>
      <c r="EA2" s="57"/>
      <c r="EB2" s="56"/>
      <c r="EC2" s="68">
        <v>2019</v>
      </c>
      <c r="ED2" s="158" t="s">
        <v>276</v>
      </c>
      <c r="EE2" s="57"/>
      <c r="EF2" s="56"/>
      <c r="EG2" s="68">
        <v>2019</v>
      </c>
      <c r="EH2" s="158" t="s">
        <v>266</v>
      </c>
      <c r="EI2" s="57"/>
      <c r="EJ2" s="56"/>
      <c r="EK2" s="68">
        <v>2019</v>
      </c>
      <c r="EL2" s="158" t="s">
        <v>267</v>
      </c>
      <c r="EM2" s="57"/>
      <c r="EN2" s="56"/>
      <c r="EO2" s="68">
        <v>2019</v>
      </c>
      <c r="EP2" s="158" t="s">
        <v>268</v>
      </c>
      <c r="EQ2" s="57"/>
    </row>
    <row r="3" spans="1:147" x14ac:dyDescent="0.2">
      <c r="A3" s="39" t="s">
        <v>277</v>
      </c>
      <c r="B3" s="39"/>
      <c r="C3" s="39" t="s">
        <v>278</v>
      </c>
      <c r="D3" s="39" t="s">
        <v>279</v>
      </c>
      <c r="F3" s="39" t="s">
        <v>278</v>
      </c>
      <c r="G3" s="39" t="s">
        <v>279</v>
      </c>
      <c r="I3" s="39" t="s">
        <v>278</v>
      </c>
      <c r="J3" s="39" t="s">
        <v>279</v>
      </c>
      <c r="L3" s="39" t="s">
        <v>278</v>
      </c>
      <c r="M3" s="39" t="s">
        <v>279</v>
      </c>
      <c r="O3" s="39" t="s">
        <v>278</v>
      </c>
      <c r="P3" s="39" t="s">
        <v>279</v>
      </c>
      <c r="R3" s="39" t="s">
        <v>278</v>
      </c>
      <c r="S3" s="39" t="s">
        <v>279</v>
      </c>
      <c r="U3" s="39" t="s">
        <v>278</v>
      </c>
      <c r="V3" s="39" t="s">
        <v>279</v>
      </c>
      <c r="X3" s="39" t="s">
        <v>278</v>
      </c>
      <c r="Y3" s="39" t="s">
        <v>279</v>
      </c>
      <c r="AA3" s="39" t="s">
        <v>278</v>
      </c>
      <c r="AB3" s="39" t="s">
        <v>279</v>
      </c>
      <c r="AD3" s="39" t="s">
        <v>278</v>
      </c>
      <c r="AE3" s="39" t="s">
        <v>279</v>
      </c>
      <c r="AG3" s="39" t="s">
        <v>278</v>
      </c>
      <c r="AH3" s="39" t="s">
        <v>279</v>
      </c>
      <c r="AJ3" s="58"/>
      <c r="AK3" s="39" t="s">
        <v>278</v>
      </c>
      <c r="AL3" s="39" t="s">
        <v>279</v>
      </c>
      <c r="AM3" s="59"/>
      <c r="AN3" s="58"/>
      <c r="AO3" s="39" t="s">
        <v>278</v>
      </c>
      <c r="AP3" s="39" t="s">
        <v>279</v>
      </c>
      <c r="AQ3" s="59"/>
      <c r="AR3" s="58"/>
      <c r="AS3" s="39" t="s">
        <v>278</v>
      </c>
      <c r="AT3" s="39" t="s">
        <v>279</v>
      </c>
      <c r="AU3" s="59"/>
      <c r="AV3" s="58"/>
      <c r="AW3" s="39" t="s">
        <v>278</v>
      </c>
      <c r="AX3" s="39" t="s">
        <v>279</v>
      </c>
      <c r="AY3" s="59"/>
      <c r="AZ3" s="58"/>
      <c r="BA3" s="39" t="s">
        <v>278</v>
      </c>
      <c r="BB3" s="39" t="s">
        <v>279</v>
      </c>
      <c r="BC3" s="59"/>
      <c r="BD3" s="58"/>
      <c r="BE3" s="39" t="s">
        <v>278</v>
      </c>
      <c r="BF3" s="39" t="s">
        <v>279</v>
      </c>
      <c r="BG3" s="59"/>
      <c r="BH3" s="58"/>
      <c r="BI3" s="39" t="s">
        <v>278</v>
      </c>
      <c r="BJ3" s="39" t="s">
        <v>279</v>
      </c>
      <c r="BK3" s="59"/>
      <c r="BL3" s="58"/>
      <c r="BM3" s="39" t="s">
        <v>278</v>
      </c>
      <c r="BN3" s="39" t="s">
        <v>279</v>
      </c>
      <c r="BO3" s="59"/>
      <c r="BP3" s="58"/>
      <c r="BQ3" s="39" t="s">
        <v>278</v>
      </c>
      <c r="BR3" s="39" t="s">
        <v>279</v>
      </c>
      <c r="BS3" s="59"/>
      <c r="BT3" s="58"/>
      <c r="BU3" s="39" t="s">
        <v>278</v>
      </c>
      <c r="BV3" s="39" t="s">
        <v>279</v>
      </c>
      <c r="BW3" s="59"/>
      <c r="BX3" s="58"/>
      <c r="BY3" s="146" t="s">
        <v>278</v>
      </c>
      <c r="BZ3" s="146" t="s">
        <v>279</v>
      </c>
      <c r="CA3" s="59"/>
      <c r="CB3" s="58"/>
      <c r="CC3" s="146" t="s">
        <v>278</v>
      </c>
      <c r="CD3" s="146" t="s">
        <v>279</v>
      </c>
      <c r="CE3" s="59"/>
      <c r="CF3" s="58"/>
      <c r="CG3" s="146" t="s">
        <v>278</v>
      </c>
      <c r="CH3" s="146" t="s">
        <v>279</v>
      </c>
      <c r="CI3" s="59"/>
      <c r="CJ3" s="58"/>
      <c r="CK3" s="146" t="s">
        <v>278</v>
      </c>
      <c r="CL3" s="146" t="s">
        <v>279</v>
      </c>
      <c r="CM3" s="59"/>
      <c r="CN3" s="58"/>
      <c r="CO3" s="146" t="s">
        <v>278</v>
      </c>
      <c r="CP3" s="146" t="s">
        <v>279</v>
      </c>
      <c r="CQ3" s="59"/>
      <c r="CR3" s="58"/>
      <c r="CS3" s="146" t="s">
        <v>278</v>
      </c>
      <c r="CT3" s="146" t="s">
        <v>279</v>
      </c>
      <c r="CU3" s="59"/>
      <c r="CV3" s="58"/>
      <c r="CW3" s="146" t="s">
        <v>278</v>
      </c>
      <c r="CX3" s="146" t="s">
        <v>279</v>
      </c>
      <c r="CY3" s="59"/>
      <c r="CZ3" s="58"/>
      <c r="DA3" s="146" t="s">
        <v>278</v>
      </c>
      <c r="DB3" s="146" t="s">
        <v>279</v>
      </c>
      <c r="DC3" s="59"/>
      <c r="DD3" s="58"/>
      <c r="DE3" s="146" t="s">
        <v>278</v>
      </c>
      <c r="DF3" s="146" t="s">
        <v>279</v>
      </c>
      <c r="DG3" s="59"/>
      <c r="DH3" s="58"/>
      <c r="DI3" s="146" t="s">
        <v>278</v>
      </c>
      <c r="DJ3" s="146" t="s">
        <v>279</v>
      </c>
      <c r="DK3" s="59"/>
      <c r="DL3" s="58"/>
      <c r="DM3" s="146" t="s">
        <v>278</v>
      </c>
      <c r="DN3" s="146" t="s">
        <v>279</v>
      </c>
      <c r="DO3" s="59"/>
      <c r="DP3" s="58"/>
      <c r="DQ3" s="146" t="s">
        <v>278</v>
      </c>
      <c r="DR3" s="146" t="s">
        <v>279</v>
      </c>
      <c r="DS3" s="59"/>
      <c r="DT3" s="58"/>
      <c r="DU3" s="146" t="s">
        <v>278</v>
      </c>
      <c r="DV3" s="146" t="s">
        <v>279</v>
      </c>
      <c r="DW3" s="59"/>
      <c r="DX3" s="58"/>
      <c r="DY3" s="146" t="s">
        <v>278</v>
      </c>
      <c r="DZ3" s="146" t="s">
        <v>279</v>
      </c>
      <c r="EA3" s="59"/>
      <c r="EB3" s="58"/>
      <c r="EC3" s="146" t="s">
        <v>278</v>
      </c>
      <c r="ED3" s="146" t="s">
        <v>279</v>
      </c>
      <c r="EE3" s="59"/>
      <c r="EF3" s="58"/>
      <c r="EG3" s="146" t="s">
        <v>278</v>
      </c>
      <c r="EH3" s="146" t="s">
        <v>279</v>
      </c>
      <c r="EI3" s="59"/>
      <c r="EJ3" s="58"/>
      <c r="EK3" s="146" t="s">
        <v>278</v>
      </c>
      <c r="EL3" s="146" t="s">
        <v>279</v>
      </c>
      <c r="EM3" s="59"/>
      <c r="EN3" s="58"/>
      <c r="EO3" s="146" t="s">
        <v>278</v>
      </c>
      <c r="EP3" s="146" t="s">
        <v>279</v>
      </c>
      <c r="EQ3" s="59"/>
    </row>
    <row r="4" spans="1:147" x14ac:dyDescent="0.2">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
      <c r="A5" t="s">
        <v>280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
      <c r="A7">
        <v>42</v>
      </c>
      <c r="C7" s="46">
        <v>39234</v>
      </c>
      <c r="D7" s="45">
        <f>WORKDAY(C7,1,$C$33:$C$42)</f>
        <v>39237</v>
      </c>
      <c r="E7" t="s">
        <v>281</v>
      </c>
      <c r="F7" s="46">
        <v>39325</v>
      </c>
      <c r="G7" s="45">
        <f>WORKDAY(F7,1,$C$33:$C$42)</f>
        <v>39329</v>
      </c>
      <c r="H7" t="s">
        <v>281</v>
      </c>
      <c r="I7" s="46">
        <v>39416</v>
      </c>
      <c r="J7" s="45">
        <f>WORKDAY(I7,1,$C$33:$C$42)</f>
        <v>39419</v>
      </c>
      <c r="K7" t="s">
        <v>281</v>
      </c>
      <c r="L7" s="46">
        <v>39507</v>
      </c>
      <c r="M7" s="45">
        <f>WORKDAY(L7,1,$L$33:$L$42)</f>
        <v>39510</v>
      </c>
      <c r="N7" t="s">
        <v>281</v>
      </c>
      <c r="O7" s="46">
        <v>39601</v>
      </c>
      <c r="P7" s="45">
        <f>WORKDAY(O7,1,$L$33:$L$42)</f>
        <v>39602</v>
      </c>
      <c r="Q7" t="s">
        <v>281</v>
      </c>
      <c r="R7" s="46">
        <v>39693</v>
      </c>
      <c r="S7" s="45">
        <f>WORKDAY(R7,1,$L$33:$L$42)</f>
        <v>39694</v>
      </c>
      <c r="T7" t="s">
        <v>281</v>
      </c>
      <c r="U7" s="46">
        <v>39784</v>
      </c>
      <c r="V7" s="45">
        <f>WORKDAY(U7,1,$L$33:$L$42)</f>
        <v>39785</v>
      </c>
      <c r="W7" t="s">
        <v>281</v>
      </c>
      <c r="X7" s="46">
        <v>39874</v>
      </c>
      <c r="Y7" s="45">
        <f>WORKDAY(X7,1,X$33:X$43)</f>
        <v>39875</v>
      </c>
      <c r="Z7" t="s">
        <v>281</v>
      </c>
      <c r="AA7" s="46">
        <v>39965</v>
      </c>
      <c r="AB7" s="45">
        <f>WORKDAY(AA7,1,$L$33:$L$43)</f>
        <v>39966</v>
      </c>
      <c r="AC7" t="s">
        <v>281</v>
      </c>
      <c r="AD7" s="46">
        <v>40057</v>
      </c>
      <c r="AE7" s="45">
        <f>WORKDAY(AD7,1,X$33:X$43)</f>
        <v>40058</v>
      </c>
      <c r="AF7" t="s">
        <v>281</v>
      </c>
      <c r="AG7" s="46">
        <v>40148</v>
      </c>
      <c r="AH7" s="45">
        <f>WORKDAY(AG7,1,X$33:X$43)</f>
        <v>40149</v>
      </c>
      <c r="AI7" t="s">
        <v>281</v>
      </c>
      <c r="AJ7" s="58"/>
      <c r="AK7" s="46">
        <v>42156</v>
      </c>
      <c r="AL7" s="45">
        <f>WORKDAY(AK7,1,AB$33:AB$43)</f>
        <v>42157</v>
      </c>
      <c r="AM7" s="59" t="s">
        <v>281</v>
      </c>
      <c r="AN7" s="60">
        <f>+AO7-AK7</f>
        <v>30</v>
      </c>
      <c r="AO7" s="46">
        <v>42186</v>
      </c>
      <c r="AP7" s="45">
        <f>WORKDAY(AO7,1,AF$33:AF$43)</f>
        <v>42187</v>
      </c>
      <c r="AQ7" s="59" t="s">
        <v>281</v>
      </c>
      <c r="AR7" s="60">
        <f>+AS7-AO7</f>
        <v>33</v>
      </c>
      <c r="AS7" s="46">
        <v>42219</v>
      </c>
      <c r="AT7" s="45">
        <f>WORKDAY(AS7,1,AJ$33:AJ$43)</f>
        <v>42220</v>
      </c>
      <c r="AU7" s="59" t="s">
        <v>281</v>
      </c>
      <c r="AV7" s="60">
        <f>+AW7-AS7</f>
        <v>29</v>
      </c>
      <c r="AW7" s="46">
        <v>42248</v>
      </c>
      <c r="AX7" s="45">
        <f>WORKDAY(AW7,1,AN$33:AN$43)</f>
        <v>42249</v>
      </c>
      <c r="AY7" s="59" t="s">
        <v>281</v>
      </c>
      <c r="AZ7" s="60">
        <f>+BA7-AW7</f>
        <v>30</v>
      </c>
      <c r="BA7" s="46">
        <v>42278</v>
      </c>
      <c r="BB7" s="45">
        <f>WORKDAY(BA7,1,AR$33:AR$43)</f>
        <v>42279</v>
      </c>
      <c r="BC7" s="59" t="s">
        <v>281</v>
      </c>
      <c r="BD7" s="60">
        <f>+BE7-BA7</f>
        <v>29</v>
      </c>
      <c r="BE7" s="46">
        <v>42307</v>
      </c>
      <c r="BF7" s="45">
        <f>WORKDAY(BE7,1,AV$33:AV$43)</f>
        <v>42310</v>
      </c>
      <c r="BG7" s="59" t="s">
        <v>281</v>
      </c>
      <c r="BH7" s="60">
        <f>+BI7-BE7</f>
        <v>32</v>
      </c>
      <c r="BI7" s="46">
        <v>42339</v>
      </c>
      <c r="BJ7" s="45">
        <f>WORKDAY(BI7,1,AZ$33:AZ$43)</f>
        <v>42340</v>
      </c>
      <c r="BK7" s="59" t="s">
        <v>281</v>
      </c>
      <c r="BL7" s="60">
        <f>+BM7-BI7</f>
        <v>30</v>
      </c>
      <c r="BM7" s="46">
        <v>42369</v>
      </c>
      <c r="BN7" s="64">
        <f>WORKDAY(BM7,2,BD$33:BD$43)</f>
        <v>42373</v>
      </c>
      <c r="BO7" s="59" t="s">
        <v>281</v>
      </c>
      <c r="BP7" s="60">
        <f>+BQ7-BM7</f>
        <v>32</v>
      </c>
      <c r="BQ7" s="46">
        <v>42401</v>
      </c>
      <c r="BR7" s="45">
        <f>WORKDAY(BQ7,1,BH$33:BH$43)</f>
        <v>42402</v>
      </c>
      <c r="BS7" s="59" t="s">
        <v>281</v>
      </c>
      <c r="BT7" s="60">
        <f>+BU7-BQ7</f>
        <v>29</v>
      </c>
      <c r="BU7" s="46">
        <v>42430</v>
      </c>
      <c r="BV7" s="45">
        <f>WORKDAY(BU7,1,BL$33:BL$43)</f>
        <v>42431</v>
      </c>
      <c r="BW7" s="59" t="s">
        <v>281</v>
      </c>
      <c r="BX7" s="60">
        <f>+BY7-BU7</f>
        <v>30</v>
      </c>
      <c r="BY7" s="46">
        <v>42460</v>
      </c>
      <c r="BZ7" s="45">
        <f>WORKDAY(BY7,1)</f>
        <v>42461</v>
      </c>
      <c r="CA7" s="59" t="s">
        <v>281</v>
      </c>
      <c r="CB7" s="60">
        <f>+CC7-BY7</f>
        <v>29</v>
      </c>
      <c r="CC7" s="46">
        <v>42489</v>
      </c>
      <c r="CD7" s="45">
        <f>WORKDAY(CC7,1)</f>
        <v>42492</v>
      </c>
      <c r="CE7" s="59" t="s">
        <v>281</v>
      </c>
      <c r="CF7" s="60">
        <f>+CG7-CC7</f>
        <v>33</v>
      </c>
      <c r="CG7" s="46">
        <v>42522</v>
      </c>
      <c r="CH7" s="45">
        <f>WORKDAY(CG7,1)</f>
        <v>42523</v>
      </c>
      <c r="CI7" s="59" t="s">
        <v>281</v>
      </c>
      <c r="CJ7" s="60">
        <f>+CK7-CG7</f>
        <v>29</v>
      </c>
      <c r="CK7" s="46">
        <v>42551</v>
      </c>
      <c r="CL7" s="45">
        <f>WORKDAY(CK7,1)</f>
        <v>42552</v>
      </c>
      <c r="CM7" s="59" t="s">
        <v>281</v>
      </c>
      <c r="CN7" s="60">
        <f>+CO7-CK7</f>
        <v>32</v>
      </c>
      <c r="CO7" s="46">
        <v>42583</v>
      </c>
      <c r="CP7" s="45">
        <f>WORKDAY(CO7,1)</f>
        <v>42584</v>
      </c>
      <c r="CQ7" s="59" t="s">
        <v>281</v>
      </c>
      <c r="CR7" s="60">
        <f>+CS7-CO7</f>
        <v>30</v>
      </c>
      <c r="CS7" s="46">
        <v>42613</v>
      </c>
      <c r="CT7" s="45">
        <f>WORKDAY(CS7,1)</f>
        <v>42614</v>
      </c>
      <c r="CU7" s="59" t="s">
        <v>281</v>
      </c>
      <c r="CV7" s="60">
        <f>+CW7-CS7</f>
        <v>30</v>
      </c>
      <c r="CW7" s="46">
        <v>42643</v>
      </c>
      <c r="CX7" s="45">
        <f>WORKDAY(CW7,1)</f>
        <v>42646</v>
      </c>
      <c r="CY7" s="59" t="s">
        <v>281</v>
      </c>
      <c r="CZ7" s="60">
        <f>+DA7-CW7</f>
        <v>31</v>
      </c>
      <c r="DA7" s="46">
        <v>42674</v>
      </c>
      <c r="DB7" s="45">
        <f>WORKDAY(DA7,1)</f>
        <v>42675</v>
      </c>
      <c r="DC7" s="59" t="s">
        <v>281</v>
      </c>
      <c r="DD7" s="60">
        <f>+DE7-DA7</f>
        <v>31</v>
      </c>
      <c r="DE7" s="46">
        <v>42705</v>
      </c>
      <c r="DF7" s="45">
        <f>WORKDAY(DE7,1)</f>
        <v>42706</v>
      </c>
      <c r="DG7" s="59" t="s">
        <v>281</v>
      </c>
      <c r="DH7" s="60">
        <f>+DI7-DE7</f>
        <v>33</v>
      </c>
      <c r="DI7" s="46">
        <v>42738</v>
      </c>
      <c r="DJ7" s="45">
        <f>WORKDAY(DI7,1)</f>
        <v>42739</v>
      </c>
      <c r="DK7" s="59" t="s">
        <v>281</v>
      </c>
      <c r="DL7" s="60">
        <f>+DM7-DI7</f>
        <v>29</v>
      </c>
      <c r="DM7" s="46">
        <v>42767</v>
      </c>
      <c r="DN7" s="45">
        <f>WORKDAY(DM7,1)</f>
        <v>42768</v>
      </c>
      <c r="DO7" s="59" t="s">
        <v>281</v>
      </c>
      <c r="DP7" s="60">
        <f>+DQ7-DM7</f>
        <v>28</v>
      </c>
      <c r="DQ7" s="46">
        <v>42795</v>
      </c>
      <c r="DR7" s="45">
        <f>WORKDAY(DQ7,1)</f>
        <v>42796</v>
      </c>
      <c r="DS7" s="59" t="s">
        <v>281</v>
      </c>
      <c r="DT7" s="60">
        <f>+DU7-DQ7</f>
        <v>730</v>
      </c>
      <c r="DU7" s="46">
        <v>43525</v>
      </c>
      <c r="DV7" s="45">
        <f t="shared" si="0"/>
        <v>43528</v>
      </c>
      <c r="DW7" s="59" t="s">
        <v>281</v>
      </c>
      <c r="DX7" s="60">
        <f t="shared" si="1"/>
        <v>31</v>
      </c>
      <c r="DY7" s="46">
        <v>43556</v>
      </c>
      <c r="DZ7" s="45">
        <f t="shared" si="2"/>
        <v>43557</v>
      </c>
      <c r="EA7" s="59" t="s">
        <v>281</v>
      </c>
      <c r="EB7" s="60">
        <f>+EC7-DY7</f>
        <v>30</v>
      </c>
      <c r="EC7" s="46">
        <v>43586</v>
      </c>
      <c r="ED7" s="45">
        <f>WORKDAY(EC7,1)</f>
        <v>43587</v>
      </c>
      <c r="EE7" s="59" t="s">
        <v>281</v>
      </c>
      <c r="EF7" s="60">
        <f>+EG7-EC7</f>
        <v>33</v>
      </c>
      <c r="EG7" s="46">
        <v>43619</v>
      </c>
      <c r="EH7" s="45">
        <f>WORKDAY(EG7,1)</f>
        <v>43620</v>
      </c>
      <c r="EI7" s="59" t="s">
        <v>281</v>
      </c>
      <c r="EJ7" s="60">
        <f>+EK7-EG7</f>
        <v>28</v>
      </c>
      <c r="EK7" s="46">
        <v>43647</v>
      </c>
      <c r="EL7" s="45">
        <f>WORKDAY(EK7,1)</f>
        <v>43648</v>
      </c>
      <c r="EM7" s="59" t="s">
        <v>281</v>
      </c>
      <c r="EN7" s="60">
        <f>+EO7-EK7</f>
        <v>31</v>
      </c>
      <c r="EO7" s="46">
        <v>43678</v>
      </c>
      <c r="EP7" s="45">
        <f>WORKDAY(EO7,1)</f>
        <v>43679</v>
      </c>
      <c r="EQ7" s="59" t="s">
        <v>281</v>
      </c>
    </row>
    <row r="8" spans="1:147" x14ac:dyDescent="0.2">
      <c r="A8">
        <v>43</v>
      </c>
      <c r="C8" s="46">
        <v>39237</v>
      </c>
      <c r="D8" s="45">
        <f>WORKDAY(C8,1,$C$33:$C$42)</f>
        <v>39238</v>
      </c>
      <c r="E8" t="s">
        <v>282</v>
      </c>
      <c r="F8" s="46">
        <v>39329</v>
      </c>
      <c r="G8" s="45">
        <f>WORKDAY(F8,1,$C$33:$C$42)</f>
        <v>39330</v>
      </c>
      <c r="H8" t="s">
        <v>282</v>
      </c>
      <c r="I8" s="46">
        <v>39419</v>
      </c>
      <c r="J8" s="45">
        <f>WORKDAY(I8,1,$C$33:$C$42)</f>
        <v>39420</v>
      </c>
      <c r="K8" t="s">
        <v>282</v>
      </c>
      <c r="L8" s="46">
        <v>39510</v>
      </c>
      <c r="M8" s="45">
        <f>WORKDAY(L8,1,$L$33:$L$42)</f>
        <v>39511</v>
      </c>
      <c r="N8" t="s">
        <v>282</v>
      </c>
      <c r="O8" s="46">
        <v>39602</v>
      </c>
      <c r="P8" s="45">
        <f>WORKDAY(O8,1,$L$33:$L$42)</f>
        <v>39603</v>
      </c>
      <c r="Q8" t="s">
        <v>282</v>
      </c>
      <c r="R8" s="46">
        <v>39694</v>
      </c>
      <c r="S8" s="45">
        <f>WORKDAY(R8,1,$L$33:$L$42)</f>
        <v>39695</v>
      </c>
      <c r="T8" t="s">
        <v>282</v>
      </c>
      <c r="U8" s="46">
        <v>39785</v>
      </c>
      <c r="V8" s="45">
        <f>WORKDAY(U8,1,$L$33:$L$42)</f>
        <v>39786</v>
      </c>
      <c r="W8" t="s">
        <v>282</v>
      </c>
      <c r="X8" s="46">
        <v>39875</v>
      </c>
      <c r="Y8" s="45">
        <f>WORKDAY(X8,1,X$33:X$43)</f>
        <v>39876</v>
      </c>
      <c r="Z8" t="s">
        <v>282</v>
      </c>
      <c r="AA8" s="46">
        <v>39966</v>
      </c>
      <c r="AB8" s="45">
        <f>WORKDAY(AA8,1,$L$33:$L$43)</f>
        <v>39967</v>
      </c>
      <c r="AC8" t="s">
        <v>282</v>
      </c>
      <c r="AD8" s="46">
        <v>40058</v>
      </c>
      <c r="AE8" s="45">
        <f>WORKDAY(AD8,1,X$33:X$43)</f>
        <v>40059</v>
      </c>
      <c r="AF8" t="s">
        <v>282</v>
      </c>
      <c r="AG8" s="46">
        <v>40149</v>
      </c>
      <c r="AH8" s="45">
        <f>WORKDAY(AG8,1,X$33:X$43)</f>
        <v>40150</v>
      </c>
      <c r="AI8" t="s">
        <v>282</v>
      </c>
      <c r="AJ8" s="58"/>
      <c r="AK8" s="46">
        <v>42157</v>
      </c>
      <c r="AL8" s="45">
        <f>WORKDAY(AK8,1,AB$33:AB$43)</f>
        <v>42158</v>
      </c>
      <c r="AM8" s="59" t="s">
        <v>282</v>
      </c>
      <c r="AN8" s="60">
        <f>+AO8-AK8</f>
        <v>30</v>
      </c>
      <c r="AO8" s="46">
        <v>42187</v>
      </c>
      <c r="AP8" s="45">
        <f>WORKDAY(AO8,1,AF$33:AF$43)</f>
        <v>42188</v>
      </c>
      <c r="AQ8" s="59" t="s">
        <v>282</v>
      </c>
      <c r="AR8" s="60">
        <f>+AS8-AO8</f>
        <v>33</v>
      </c>
      <c r="AS8" s="46">
        <v>42220</v>
      </c>
      <c r="AT8" s="45">
        <f>WORKDAY(AS8,1,AJ$33:AJ$43)</f>
        <v>42221</v>
      </c>
      <c r="AU8" s="59" t="s">
        <v>282</v>
      </c>
      <c r="AV8" s="60">
        <f>+AW8-AS8</f>
        <v>29</v>
      </c>
      <c r="AW8" s="46">
        <v>42249</v>
      </c>
      <c r="AX8" s="45">
        <f>WORKDAY(AW8,1,AN$33:AN$43)</f>
        <v>42250</v>
      </c>
      <c r="AY8" s="59" t="s">
        <v>282</v>
      </c>
      <c r="AZ8" s="60">
        <f>+BA8-AW8</f>
        <v>30</v>
      </c>
      <c r="BA8" s="46">
        <v>42279</v>
      </c>
      <c r="BB8" s="45">
        <f>WORKDAY(BA8,1,AR$33:AR$43)</f>
        <v>42282</v>
      </c>
      <c r="BC8" s="59" t="s">
        <v>282</v>
      </c>
      <c r="BD8" s="60">
        <f>+BE8-BA8</f>
        <v>31</v>
      </c>
      <c r="BE8" s="46">
        <v>42310</v>
      </c>
      <c r="BF8" s="45">
        <f>WORKDAY(BE8,1,AV$33:AV$43)</f>
        <v>42311</v>
      </c>
      <c r="BG8" s="59" t="s">
        <v>282</v>
      </c>
      <c r="BH8" s="60">
        <f>+BI8-BE8</f>
        <v>30</v>
      </c>
      <c r="BI8" s="46">
        <v>42340</v>
      </c>
      <c r="BJ8" s="45">
        <f>WORKDAY(BI8,1,AZ$33:AZ$43)</f>
        <v>42341</v>
      </c>
      <c r="BK8" s="59" t="s">
        <v>282</v>
      </c>
      <c r="BL8" s="60">
        <f>+BM8-BI8</f>
        <v>33</v>
      </c>
      <c r="BM8" s="46">
        <v>42373</v>
      </c>
      <c r="BN8" s="45">
        <f>WORKDAY(BM8,1,BD$33:BD$43)</f>
        <v>42374</v>
      </c>
      <c r="BO8" s="59" t="s">
        <v>282</v>
      </c>
      <c r="BP8" s="60">
        <f>+BQ8-BM8</f>
        <v>29</v>
      </c>
      <c r="BQ8" s="46">
        <v>42402</v>
      </c>
      <c r="BR8" s="45">
        <f>WORKDAY(BQ8,1,BH$33:BH$43)</f>
        <v>42403</v>
      </c>
      <c r="BS8" s="59" t="s">
        <v>282</v>
      </c>
      <c r="BT8" s="60">
        <f>+BU8-BQ8</f>
        <v>29</v>
      </c>
      <c r="BU8" s="46">
        <v>42431</v>
      </c>
      <c r="BV8" s="45">
        <f>WORKDAY(BU8,1,BL$33:BL$43)</f>
        <v>42432</v>
      </c>
      <c r="BW8" s="59" t="s">
        <v>282</v>
      </c>
      <c r="BX8" s="60">
        <f>+BY8-BU8</f>
        <v>30</v>
      </c>
      <c r="BY8" s="46">
        <v>42461</v>
      </c>
      <c r="BZ8" s="45">
        <f>WORKDAY(BY8,1)</f>
        <v>42464</v>
      </c>
      <c r="CA8" s="59" t="s">
        <v>282</v>
      </c>
      <c r="CB8" s="60">
        <f>+CC8-BY8</f>
        <v>31</v>
      </c>
      <c r="CC8" s="46">
        <v>42492</v>
      </c>
      <c r="CD8" s="45">
        <f>WORKDAY(CC8,1)</f>
        <v>42493</v>
      </c>
      <c r="CE8" s="59" t="s">
        <v>282</v>
      </c>
      <c r="CF8" s="60">
        <f>+CG8-CC8</f>
        <v>31</v>
      </c>
      <c r="CG8" s="46">
        <v>42523</v>
      </c>
      <c r="CH8" s="45">
        <f>WORKDAY(CG8,1)</f>
        <v>42524</v>
      </c>
      <c r="CI8" s="59" t="s">
        <v>282</v>
      </c>
      <c r="CJ8" s="60">
        <f>+CK8-CG8</f>
        <v>29</v>
      </c>
      <c r="CK8" s="46">
        <v>42552</v>
      </c>
      <c r="CL8" s="45">
        <f>WORKDAY(CK8,1)</f>
        <v>42555</v>
      </c>
      <c r="CM8" s="59" t="s">
        <v>282</v>
      </c>
      <c r="CN8" s="60">
        <f>+CO8-CK8</f>
        <v>32</v>
      </c>
      <c r="CO8" s="46">
        <v>42584</v>
      </c>
      <c r="CP8" s="45">
        <f>WORKDAY(CO8,1)</f>
        <v>42585</v>
      </c>
      <c r="CQ8" s="59" t="s">
        <v>282</v>
      </c>
      <c r="CR8" s="60">
        <f>+CS8-CO8</f>
        <v>30</v>
      </c>
      <c r="CS8" s="46">
        <v>42614</v>
      </c>
      <c r="CT8" s="45">
        <f>WORKDAY(CS8,1)</f>
        <v>42615</v>
      </c>
      <c r="CU8" s="59" t="s">
        <v>282</v>
      </c>
      <c r="CV8" s="60">
        <f>+CW8-CS8</f>
        <v>32</v>
      </c>
      <c r="CW8" s="46">
        <v>42646</v>
      </c>
      <c r="CX8" s="45">
        <f>WORKDAY(CW8,1)</f>
        <v>42647</v>
      </c>
      <c r="CY8" s="59" t="s">
        <v>282</v>
      </c>
      <c r="CZ8" s="60">
        <f>+DA8-CW8</f>
        <v>29</v>
      </c>
      <c r="DA8" s="46">
        <v>42675</v>
      </c>
      <c r="DB8" s="45">
        <f>WORKDAY(DA8,1)</f>
        <v>42676</v>
      </c>
      <c r="DC8" s="59" t="s">
        <v>282</v>
      </c>
      <c r="DD8" s="60">
        <f>+DE8-DA8</f>
        <v>31</v>
      </c>
      <c r="DE8" s="46">
        <v>42706</v>
      </c>
      <c r="DF8" s="45">
        <f>WORKDAY(DE8,1)</f>
        <v>42709</v>
      </c>
      <c r="DG8" s="59" t="s">
        <v>282</v>
      </c>
      <c r="DH8" s="60">
        <f>+DI8-DE8</f>
        <v>33</v>
      </c>
      <c r="DI8" s="46">
        <v>42739</v>
      </c>
      <c r="DJ8" s="45">
        <f>WORKDAY(DI8,1)</f>
        <v>42740</v>
      </c>
      <c r="DK8" s="59" t="s">
        <v>282</v>
      </c>
      <c r="DL8" s="60">
        <f>+DM8-DI8</f>
        <v>29</v>
      </c>
      <c r="DM8" s="46">
        <v>42768</v>
      </c>
      <c r="DN8" s="45">
        <f>WORKDAY(DM8,1)</f>
        <v>42769</v>
      </c>
      <c r="DO8" s="59" t="s">
        <v>282</v>
      </c>
      <c r="DP8" s="60">
        <f>+DQ8-DM8</f>
        <v>28</v>
      </c>
      <c r="DQ8" s="46">
        <v>42796</v>
      </c>
      <c r="DR8" s="45">
        <f>WORKDAY(DQ8,1)</f>
        <v>42797</v>
      </c>
      <c r="DS8" s="59" t="s">
        <v>282</v>
      </c>
      <c r="DT8" s="60">
        <f>+DU8-DQ8</f>
        <v>732</v>
      </c>
      <c r="DU8" s="46">
        <v>43528</v>
      </c>
      <c r="DV8" s="45">
        <f t="shared" si="0"/>
        <v>43529</v>
      </c>
      <c r="DW8" s="59" t="s">
        <v>282</v>
      </c>
      <c r="DX8" s="60">
        <f t="shared" si="1"/>
        <v>29</v>
      </c>
      <c r="DY8" s="46">
        <v>43557</v>
      </c>
      <c r="DZ8" s="45">
        <f t="shared" si="2"/>
        <v>43558</v>
      </c>
      <c r="EA8" s="59" t="s">
        <v>282</v>
      </c>
      <c r="EB8" s="60">
        <f>+EC8-DY8</f>
        <v>30</v>
      </c>
      <c r="EC8" s="46">
        <v>43587</v>
      </c>
      <c r="ED8" s="45">
        <f>WORKDAY(EC8,1)</f>
        <v>43588</v>
      </c>
      <c r="EE8" s="59" t="s">
        <v>282</v>
      </c>
      <c r="EF8" s="60">
        <f>+EG8-EC8</f>
        <v>33</v>
      </c>
      <c r="EG8" s="46">
        <v>43620</v>
      </c>
      <c r="EH8" s="45">
        <f>WORKDAY(EG8,1)</f>
        <v>43621</v>
      </c>
      <c r="EI8" s="59" t="s">
        <v>282</v>
      </c>
      <c r="EJ8" s="60">
        <f>+EK8-EG8</f>
        <v>28</v>
      </c>
      <c r="EK8" s="46">
        <v>43648</v>
      </c>
      <c r="EL8" s="45">
        <f>WORKDAY(EK8,1)</f>
        <v>43649</v>
      </c>
      <c r="EM8" s="59" t="s">
        <v>282</v>
      </c>
      <c r="EN8" s="60">
        <f>+EO8-EK8</f>
        <v>31</v>
      </c>
      <c r="EO8" s="46">
        <v>43679</v>
      </c>
      <c r="EP8" s="45">
        <f>WORKDAY(EO8,1)</f>
        <v>43682</v>
      </c>
      <c r="EQ8" s="59" t="s">
        <v>282</v>
      </c>
    </row>
    <row r="9" spans="1:147" x14ac:dyDescent="0.2">
      <c r="A9">
        <v>44</v>
      </c>
      <c r="C9" s="46">
        <v>39238</v>
      </c>
      <c r="D9" s="45">
        <f>WORKDAY(C9,1,$C$33:$C$42)</f>
        <v>39239</v>
      </c>
      <c r="E9" t="s">
        <v>283</v>
      </c>
      <c r="F9" s="46">
        <v>39330</v>
      </c>
      <c r="G9" s="45">
        <f>WORKDAY(F9,1,$C$33:$C$42)</f>
        <v>39331</v>
      </c>
      <c r="H9" t="s">
        <v>283</v>
      </c>
      <c r="I9" s="46">
        <v>39420</v>
      </c>
      <c r="J9" s="45">
        <f>WORKDAY(I9,1,$C$33:$C$42)</f>
        <v>39421</v>
      </c>
      <c r="K9" t="s">
        <v>283</v>
      </c>
      <c r="L9" s="46">
        <v>39511</v>
      </c>
      <c r="M9" s="45">
        <f>WORKDAY(L9,1,$L$33:$L$42)</f>
        <v>39512</v>
      </c>
      <c r="N9" t="s">
        <v>283</v>
      </c>
      <c r="O9" s="46">
        <v>39603</v>
      </c>
      <c r="P9" s="45">
        <f>WORKDAY(O9,1,$L$33:$L$42)</f>
        <v>39604</v>
      </c>
      <c r="Q9" t="s">
        <v>283</v>
      </c>
      <c r="R9" s="46">
        <v>39695</v>
      </c>
      <c r="S9" s="45">
        <f>WORKDAY(R9,1,$L$33:$L$42)</f>
        <v>39696</v>
      </c>
      <c r="T9" t="s">
        <v>283</v>
      </c>
      <c r="U9" s="46">
        <v>39786</v>
      </c>
      <c r="V9" s="45">
        <f>WORKDAY(U9,1,$L$33:$L$42)</f>
        <v>39787</v>
      </c>
      <c r="W9" t="s">
        <v>283</v>
      </c>
      <c r="X9" s="46">
        <v>39876</v>
      </c>
      <c r="Y9" s="45">
        <f>WORKDAY(X9,1,X$33:X$43)</f>
        <v>39877</v>
      </c>
      <c r="Z9" t="s">
        <v>283</v>
      </c>
      <c r="AA9" s="46">
        <v>39967</v>
      </c>
      <c r="AB9" s="45">
        <f>WORKDAY(AA9,1,$L$33:$L$43)</f>
        <v>39968</v>
      </c>
      <c r="AC9" t="s">
        <v>283</v>
      </c>
      <c r="AD9" s="46">
        <v>40059</v>
      </c>
      <c r="AE9" s="45">
        <f>WORKDAY(AD9,1,X$33:X$43)</f>
        <v>40060</v>
      </c>
      <c r="AF9" t="s">
        <v>283</v>
      </c>
      <c r="AG9" s="46">
        <v>40150</v>
      </c>
      <c r="AH9" s="45">
        <f>WORKDAY(AG9,1,X$33:X$43)</f>
        <v>40151</v>
      </c>
      <c r="AI9" t="s">
        <v>283</v>
      </c>
      <c r="AJ9" s="58"/>
      <c r="AK9" s="46">
        <v>42158</v>
      </c>
      <c r="AL9" s="45">
        <f>WORKDAY(AK9,1,AB$33:AB$43)</f>
        <v>42159</v>
      </c>
      <c r="AM9" s="59" t="s">
        <v>283</v>
      </c>
      <c r="AN9" s="60">
        <f>+AO9-AK9</f>
        <v>33</v>
      </c>
      <c r="AO9" s="46">
        <v>42191</v>
      </c>
      <c r="AP9" s="45">
        <f>WORKDAY(AO9,1,AF$33:AF$43)</f>
        <v>42192</v>
      </c>
      <c r="AQ9" s="59" t="s">
        <v>283</v>
      </c>
      <c r="AR9" s="60">
        <f>+AS9-AO9</f>
        <v>30</v>
      </c>
      <c r="AS9" s="46">
        <v>42221</v>
      </c>
      <c r="AT9" s="45">
        <f>WORKDAY(AS9,1,AJ$33:AJ$43)</f>
        <v>42222</v>
      </c>
      <c r="AU9" s="59" t="s">
        <v>283</v>
      </c>
      <c r="AV9" s="60">
        <f>+AW9-AS9</f>
        <v>29</v>
      </c>
      <c r="AW9" s="46">
        <v>42250</v>
      </c>
      <c r="AX9" s="45">
        <f>WORKDAY(AW9,1,AN$33:AN$43)</f>
        <v>42251</v>
      </c>
      <c r="AY9" s="59" t="s">
        <v>283</v>
      </c>
      <c r="AZ9" s="60">
        <f>+BA9-AW9</f>
        <v>32</v>
      </c>
      <c r="BA9" s="46">
        <v>42282</v>
      </c>
      <c r="BB9" s="45">
        <f>WORKDAY(BA9,1,AR$33:AR$43)</f>
        <v>42283</v>
      </c>
      <c r="BC9" s="59" t="s">
        <v>283</v>
      </c>
      <c r="BD9" s="60">
        <f>+BE9-BA9</f>
        <v>29</v>
      </c>
      <c r="BE9" s="46">
        <v>42311</v>
      </c>
      <c r="BF9" s="45">
        <f>WORKDAY(BE9,1,AV$33:AV$43)</f>
        <v>42312</v>
      </c>
      <c r="BG9" s="59" t="s">
        <v>283</v>
      </c>
      <c r="BH9" s="60">
        <f>+BI9-BE9</f>
        <v>30</v>
      </c>
      <c r="BI9" s="46">
        <v>42341</v>
      </c>
      <c r="BJ9" s="45">
        <f>WORKDAY(BI9,1,AZ$33:AZ$43)</f>
        <v>42342</v>
      </c>
      <c r="BK9" s="59" t="s">
        <v>283</v>
      </c>
      <c r="BL9" s="60">
        <f>+BM9-BI9</f>
        <v>33</v>
      </c>
      <c r="BM9" s="46">
        <v>42374</v>
      </c>
      <c r="BN9" s="45">
        <f>WORKDAY(BM9,1,BD$33:BD$43)</f>
        <v>42375</v>
      </c>
      <c r="BO9" s="59" t="s">
        <v>283</v>
      </c>
      <c r="BP9" s="60">
        <f>+BQ9-BM9</f>
        <v>29</v>
      </c>
      <c r="BQ9" s="46">
        <v>42403</v>
      </c>
      <c r="BR9" s="45">
        <f>WORKDAY(BQ9,1,BH$33:BH$43)</f>
        <v>42404</v>
      </c>
      <c r="BS9" s="59" t="s">
        <v>283</v>
      </c>
      <c r="BT9" s="60">
        <f>+BU9-BQ9</f>
        <v>29</v>
      </c>
      <c r="BU9" s="46">
        <v>42432</v>
      </c>
      <c r="BV9" s="45">
        <f>WORKDAY(BU9,1,BL$33:BL$43)</f>
        <v>42433</v>
      </c>
      <c r="BW9" s="59" t="s">
        <v>283</v>
      </c>
      <c r="BX9" s="60">
        <f>+BY9-BU9</f>
        <v>32</v>
      </c>
      <c r="BY9" s="46">
        <v>42464</v>
      </c>
      <c r="BZ9" s="45">
        <f>WORKDAY(BY9,1)</f>
        <v>42465</v>
      </c>
      <c r="CA9" s="59" t="s">
        <v>283</v>
      </c>
      <c r="CB9" s="60">
        <f>+CC9-BY9</f>
        <v>29</v>
      </c>
      <c r="CC9" s="46">
        <v>42493</v>
      </c>
      <c r="CD9" s="45">
        <f>WORKDAY(CC9,1)</f>
        <v>42494</v>
      </c>
      <c r="CE9" s="59" t="s">
        <v>283</v>
      </c>
      <c r="CF9" s="60">
        <f>+CG9-CC9</f>
        <v>31</v>
      </c>
      <c r="CG9" s="46">
        <v>42524</v>
      </c>
      <c r="CH9" s="45">
        <f>WORKDAY(CG9,1)</f>
        <v>42527</v>
      </c>
      <c r="CI9" s="59" t="s">
        <v>283</v>
      </c>
      <c r="CJ9" s="60">
        <f>+CK9-CG9</f>
        <v>32</v>
      </c>
      <c r="CK9" s="46">
        <v>42556</v>
      </c>
      <c r="CL9" s="45">
        <f>WORKDAY(CK9,1)</f>
        <v>42557</v>
      </c>
      <c r="CM9" s="59" t="s">
        <v>283</v>
      </c>
      <c r="CN9" s="60">
        <f>+CO9-CK9</f>
        <v>29</v>
      </c>
      <c r="CO9" s="46">
        <v>42585</v>
      </c>
      <c r="CP9" s="45">
        <f>WORKDAY(CO9,1)</f>
        <v>42586</v>
      </c>
      <c r="CQ9" s="59" t="s">
        <v>283</v>
      </c>
      <c r="CR9" s="60">
        <f>+CS9-CO9</f>
        <v>30</v>
      </c>
      <c r="CS9" s="46">
        <v>42615</v>
      </c>
      <c r="CT9" s="45">
        <f>WORKDAY(CS9,1)</f>
        <v>42618</v>
      </c>
      <c r="CU9" s="59" t="s">
        <v>283</v>
      </c>
      <c r="CV9" s="60">
        <f>+CW9-CS9</f>
        <v>32</v>
      </c>
      <c r="CW9" s="46">
        <v>42647</v>
      </c>
      <c r="CX9" s="45">
        <f>WORKDAY(CW9,1)</f>
        <v>42648</v>
      </c>
      <c r="CY9" s="59" t="s">
        <v>283</v>
      </c>
      <c r="CZ9" s="60">
        <f>+DA9-CW9</f>
        <v>29</v>
      </c>
      <c r="DA9" s="46">
        <v>42676</v>
      </c>
      <c r="DB9" s="45">
        <f>WORKDAY(DA9,1)</f>
        <v>42677</v>
      </c>
      <c r="DC9" s="59" t="s">
        <v>283</v>
      </c>
      <c r="DD9" s="60">
        <f>+DE9-DA9</f>
        <v>33</v>
      </c>
      <c r="DE9" s="46">
        <v>42709</v>
      </c>
      <c r="DF9" s="45">
        <f>WORKDAY(DE9,1)</f>
        <v>42710</v>
      </c>
      <c r="DG9" s="59" t="s">
        <v>283</v>
      </c>
      <c r="DH9" s="60">
        <f>+DI9-DE9</f>
        <v>31</v>
      </c>
      <c r="DI9" s="46">
        <v>42740</v>
      </c>
      <c r="DJ9" s="45">
        <f>WORKDAY(DI9,1)</f>
        <v>42741</v>
      </c>
      <c r="DK9" s="59" t="s">
        <v>283</v>
      </c>
      <c r="DL9" s="60">
        <f>+DM9-DI9</f>
        <v>29</v>
      </c>
      <c r="DM9" s="46">
        <v>42769</v>
      </c>
      <c r="DN9" s="45">
        <f>WORKDAY(DM9,1)</f>
        <v>42772</v>
      </c>
      <c r="DO9" s="59" t="s">
        <v>283</v>
      </c>
      <c r="DP9" s="60">
        <f>+DQ9-DM9</f>
        <v>28</v>
      </c>
      <c r="DQ9" s="46">
        <v>42797</v>
      </c>
      <c r="DR9" s="45">
        <f>WORKDAY(DQ9,1)</f>
        <v>42800</v>
      </c>
      <c r="DS9" s="59" t="s">
        <v>283</v>
      </c>
      <c r="DT9" s="60">
        <f>+DU9-DQ9</f>
        <v>732</v>
      </c>
      <c r="DU9" s="46">
        <v>43529</v>
      </c>
      <c r="DV9" s="45">
        <f t="shared" si="0"/>
        <v>43530</v>
      </c>
      <c r="DW9" s="59" t="s">
        <v>283</v>
      </c>
      <c r="DX9" s="60">
        <f t="shared" si="1"/>
        <v>29</v>
      </c>
      <c r="DY9" s="46">
        <v>43558</v>
      </c>
      <c r="DZ9" s="45">
        <f t="shared" si="2"/>
        <v>43559</v>
      </c>
      <c r="EA9" s="59" t="s">
        <v>283</v>
      </c>
      <c r="EB9" s="60">
        <f>+EC9-DY9</f>
        <v>30</v>
      </c>
      <c r="EC9" s="46">
        <v>43588</v>
      </c>
      <c r="ED9" s="45">
        <f>WORKDAY(EC9,1)</f>
        <v>43591</v>
      </c>
      <c r="EE9" s="59" t="s">
        <v>283</v>
      </c>
      <c r="EF9" s="60">
        <f>+EG9-EC9</f>
        <v>33</v>
      </c>
      <c r="EG9" s="46">
        <v>43621</v>
      </c>
      <c r="EH9" s="45">
        <f>WORKDAY(EG9,1)</f>
        <v>43622</v>
      </c>
      <c r="EI9" s="59" t="s">
        <v>283</v>
      </c>
      <c r="EJ9" s="60">
        <f>+EK9-EG9</f>
        <v>28</v>
      </c>
      <c r="EK9" s="46">
        <v>43649</v>
      </c>
      <c r="EL9" s="45">
        <f>WORKDAY(EK9,1)</f>
        <v>43650</v>
      </c>
      <c r="EM9" s="59" t="s">
        <v>283</v>
      </c>
      <c r="EN9" s="60">
        <f>+EO9-EK9</f>
        <v>33</v>
      </c>
      <c r="EO9" s="46">
        <v>43682</v>
      </c>
      <c r="EP9" s="45">
        <f>WORKDAY(EO9,1)</f>
        <v>43683</v>
      </c>
      <c r="EQ9" s="59" t="s">
        <v>283</v>
      </c>
    </row>
    <row r="10" spans="1:147" x14ac:dyDescent="0.2">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9" t="s">
        <v>284</v>
      </c>
      <c r="AV11" s="60">
        <f>+AW11-AS11</f>
        <v>30</v>
      </c>
      <c r="AW11" s="46">
        <v>42263</v>
      </c>
      <c r="AX11" s="45">
        <f>WORKDAY(AW11,1,AN$33:AN$43)</f>
        <v>42264</v>
      </c>
      <c r="AY11" s="159" t="s">
        <v>284</v>
      </c>
      <c r="AZ11" s="60">
        <f>+BA11-AW11</f>
        <v>30</v>
      </c>
      <c r="BA11" s="46">
        <v>42293</v>
      </c>
      <c r="BB11" s="45">
        <f>WORKDAY(BA11,1,AR$33:AR$43)</f>
        <v>42296</v>
      </c>
      <c r="BC11" s="159" t="s">
        <v>284</v>
      </c>
      <c r="BD11" s="60">
        <f>+BE11-BA11</f>
        <v>28</v>
      </c>
      <c r="BE11" s="46">
        <v>42321</v>
      </c>
      <c r="BF11" s="45">
        <f>WORKDAY(BE11,1,AV$33:AV$43)</f>
        <v>42324</v>
      </c>
      <c r="BG11" s="159" t="s">
        <v>284</v>
      </c>
      <c r="BH11" s="60">
        <f>+BI11-BE11</f>
        <v>32</v>
      </c>
      <c r="BI11" s="46">
        <v>42353</v>
      </c>
      <c r="BJ11" s="45">
        <f>WORKDAY(BI11,1,AZ$33:AZ$43)</f>
        <v>42354</v>
      </c>
      <c r="BK11" s="159" t="s">
        <v>284</v>
      </c>
      <c r="BL11" s="60">
        <f>+BM11-BI11</f>
        <v>31</v>
      </c>
      <c r="BM11" s="46">
        <v>42384</v>
      </c>
      <c r="BN11" s="45">
        <f>WORKDAY(BM11,1,BD$33:BD$43)</f>
        <v>42387</v>
      </c>
      <c r="BO11" s="159" t="s">
        <v>284</v>
      </c>
      <c r="BP11" s="60">
        <f>+BQ11-BM11</f>
        <v>31</v>
      </c>
      <c r="BQ11" s="46">
        <v>42415</v>
      </c>
      <c r="BR11" s="45">
        <f>WORKDAY(BQ11,1,BH$33:BH$43)</f>
        <v>42416</v>
      </c>
      <c r="BS11" s="159" t="s">
        <v>284</v>
      </c>
      <c r="BT11" s="60">
        <f>+BU11-BQ11</f>
        <v>30</v>
      </c>
      <c r="BU11" s="46">
        <v>42445</v>
      </c>
      <c r="BV11" s="45">
        <f>WORKDAY(BU11,1,BL$33:BL$43)</f>
        <v>42446</v>
      </c>
      <c r="BW11" s="159" t="s">
        <v>284</v>
      </c>
      <c r="BX11" s="60">
        <f>+BY11-BU11</f>
        <v>29</v>
      </c>
      <c r="BY11" s="46">
        <v>42474</v>
      </c>
      <c r="BZ11" s="45">
        <f>WORKDAY(BY11,1)</f>
        <v>42475</v>
      </c>
      <c r="CA11" s="159" t="s">
        <v>284</v>
      </c>
      <c r="CB11" s="60">
        <f>+CC11-BY11</f>
        <v>32</v>
      </c>
      <c r="CC11" s="46">
        <v>42506</v>
      </c>
      <c r="CD11" s="45">
        <f>WORKDAY(CC11,1)</f>
        <v>42507</v>
      </c>
      <c r="CE11" s="159" t="s">
        <v>284</v>
      </c>
      <c r="CF11" s="60">
        <f>+CG11-CC11</f>
        <v>30</v>
      </c>
      <c r="CG11" s="46">
        <v>42536</v>
      </c>
      <c r="CH11" s="45">
        <f>WORKDAY(CG11,1)</f>
        <v>42537</v>
      </c>
      <c r="CI11" s="159" t="s">
        <v>284</v>
      </c>
      <c r="CJ11" s="60">
        <f>+CK11-CG11</f>
        <v>30</v>
      </c>
      <c r="CK11" s="46">
        <v>42566</v>
      </c>
      <c r="CL11" s="45">
        <f>WORKDAY(CK11,1)</f>
        <v>42569</v>
      </c>
      <c r="CM11" s="159" t="s">
        <v>284</v>
      </c>
      <c r="CN11" s="60">
        <f>+CO11-CK11</f>
        <v>32</v>
      </c>
      <c r="CO11" s="46">
        <v>42598</v>
      </c>
      <c r="CP11" s="45">
        <f>WORKDAY(CO11,1)</f>
        <v>42599</v>
      </c>
      <c r="CQ11" s="159" t="s">
        <v>284</v>
      </c>
      <c r="CR11" s="60">
        <f>+CS11-CO11</f>
        <v>30</v>
      </c>
      <c r="CS11" s="46">
        <v>42628</v>
      </c>
      <c r="CT11" s="45">
        <f>WORKDAY(CS11,1)</f>
        <v>42629</v>
      </c>
      <c r="CU11" s="159" t="s">
        <v>284</v>
      </c>
      <c r="CV11" s="60">
        <f>+CW11-CS11</f>
        <v>29</v>
      </c>
      <c r="CW11" s="46">
        <v>42657</v>
      </c>
      <c r="CX11" s="45">
        <f>WORKDAY(CW11,1)</f>
        <v>42660</v>
      </c>
      <c r="CY11" s="159" t="s">
        <v>284</v>
      </c>
      <c r="CZ11" s="60">
        <f>+DA11-CW11</f>
        <v>32</v>
      </c>
      <c r="DA11" s="46">
        <v>42689</v>
      </c>
      <c r="DB11" s="45">
        <f>WORKDAY(DA11,1)</f>
        <v>42690</v>
      </c>
      <c r="DC11" s="159" t="s">
        <v>284</v>
      </c>
      <c r="DD11" s="60">
        <f>+DE11-DA11</f>
        <v>30</v>
      </c>
      <c r="DE11" s="46">
        <v>42719</v>
      </c>
      <c r="DF11" s="45">
        <f>WORKDAY(DE11,1)</f>
        <v>42720</v>
      </c>
      <c r="DG11" s="159" t="s">
        <v>284</v>
      </c>
      <c r="DH11" s="60">
        <f>+DI11-DE11</f>
        <v>34</v>
      </c>
      <c r="DI11" s="46">
        <v>42753</v>
      </c>
      <c r="DJ11" s="45">
        <f>WORKDAY(DI11,1)</f>
        <v>42754</v>
      </c>
      <c r="DK11" s="159" t="s">
        <v>284</v>
      </c>
      <c r="DL11" s="60">
        <f>+DM11-DI11</f>
        <v>28</v>
      </c>
      <c r="DM11" s="46">
        <v>42781</v>
      </c>
      <c r="DN11" s="45">
        <f>WORKDAY(DM11,1)</f>
        <v>42782</v>
      </c>
      <c r="DO11" s="159" t="s">
        <v>284</v>
      </c>
      <c r="DP11" s="60">
        <f>+DQ11-DM11</f>
        <v>29</v>
      </c>
      <c r="DQ11" s="46">
        <v>42810</v>
      </c>
      <c r="DR11" s="45">
        <f>WORKDAY(DQ11,1)</f>
        <v>42811</v>
      </c>
      <c r="DS11" s="159" t="s">
        <v>284</v>
      </c>
      <c r="DT11" s="60">
        <f>+DU11-DQ11</f>
        <v>728</v>
      </c>
      <c r="DU11" s="46">
        <v>43538</v>
      </c>
      <c r="DV11" s="45">
        <f t="shared" si="0"/>
        <v>43539</v>
      </c>
      <c r="DW11" s="159" t="s">
        <v>284</v>
      </c>
      <c r="DX11" s="60">
        <f t="shared" si="1"/>
        <v>33</v>
      </c>
      <c r="DY11" s="46">
        <v>43571</v>
      </c>
      <c r="DZ11" s="45">
        <f t="shared" si="2"/>
        <v>43572</v>
      </c>
      <c r="EA11" s="159" t="s">
        <v>284</v>
      </c>
      <c r="EB11" s="60">
        <f>+EC11-DY11</f>
        <v>30</v>
      </c>
      <c r="EC11" s="46">
        <v>43601</v>
      </c>
      <c r="ED11" s="45">
        <f>WORKDAY(EC11,1)</f>
        <v>43602</v>
      </c>
      <c r="EE11" s="159" t="s">
        <v>284</v>
      </c>
      <c r="EF11" s="60">
        <f>+EG11-EC11</f>
        <v>32</v>
      </c>
      <c r="EG11" s="46">
        <v>43633</v>
      </c>
      <c r="EH11" s="45">
        <f>WORKDAY(EG11,1)</f>
        <v>43634</v>
      </c>
      <c r="EI11" s="159" t="s">
        <v>284</v>
      </c>
      <c r="EJ11" s="60">
        <f>+EK11-EG11</f>
        <v>30</v>
      </c>
      <c r="EK11" s="46">
        <v>43663</v>
      </c>
      <c r="EL11" s="45">
        <f>WORKDAY(EK11,1)</f>
        <v>43664</v>
      </c>
      <c r="EM11" s="159" t="s">
        <v>284</v>
      </c>
      <c r="EN11" s="60">
        <f>+EO11-EK11</f>
        <v>30</v>
      </c>
      <c r="EO11" s="46">
        <v>43693</v>
      </c>
      <c r="EP11" s="45">
        <f>WORKDAY(EO11,1)</f>
        <v>43696</v>
      </c>
      <c r="EQ11" s="159" t="s">
        <v>284</v>
      </c>
    </row>
    <row r="12" spans="1:147" x14ac:dyDescent="0.2">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
      <c r="A13" t="s">
        <v>285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
      <c r="A20">
        <v>7</v>
      </c>
      <c r="B20" s="130" t="s">
        <v>286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
      <c r="A33" t="s">
        <v>287</v>
      </c>
      <c r="C33" s="47">
        <v>39083</v>
      </c>
      <c r="L33" s="47">
        <v>39448</v>
      </c>
      <c r="O33" s="47"/>
      <c r="X33" s="47">
        <v>39814</v>
      </c>
      <c r="AA33" s="47"/>
    </row>
    <row r="34" spans="1:34" x14ac:dyDescent="0.2">
      <c r="C34" s="47">
        <v>39178</v>
      </c>
      <c r="L34" s="47">
        <v>39542</v>
      </c>
      <c r="O34" s="47"/>
      <c r="X34" s="47">
        <v>39913</v>
      </c>
      <c r="AA34" s="47"/>
    </row>
    <row r="35" spans="1:34" x14ac:dyDescent="0.2">
      <c r="C35" s="47">
        <v>39230</v>
      </c>
      <c r="L35" s="47">
        <v>39594</v>
      </c>
      <c r="O35" s="47"/>
      <c r="X35" s="47">
        <v>39954</v>
      </c>
      <c r="AA35" s="47"/>
    </row>
    <row r="36" spans="1:34" x14ac:dyDescent="0.2">
      <c r="C36" s="47">
        <v>39267</v>
      </c>
      <c r="L36" s="47">
        <v>39633</v>
      </c>
      <c r="O36" s="47"/>
      <c r="X36" s="47">
        <v>39958</v>
      </c>
      <c r="AA36" s="47"/>
    </row>
    <row r="37" spans="1:34" x14ac:dyDescent="0.2">
      <c r="C37" s="47">
        <v>39328</v>
      </c>
      <c r="L37" s="47">
        <v>39692</v>
      </c>
      <c r="O37" s="47"/>
      <c r="X37" s="47">
        <v>39997</v>
      </c>
      <c r="AA37" s="47"/>
    </row>
    <row r="38" spans="1:34" x14ac:dyDescent="0.2">
      <c r="C38" s="47">
        <v>39408</v>
      </c>
      <c r="L38" s="47">
        <v>39779</v>
      </c>
      <c r="O38" s="47"/>
      <c r="X38" s="47">
        <v>40063</v>
      </c>
      <c r="AA38" s="47"/>
    </row>
    <row r="39" spans="1:34" x14ac:dyDescent="0.2">
      <c r="C39" s="47">
        <v>39409</v>
      </c>
      <c r="L39" s="47">
        <v>39780</v>
      </c>
      <c r="O39" s="47"/>
      <c r="X39" s="47">
        <v>40143</v>
      </c>
      <c r="AA39" s="47"/>
    </row>
    <row r="40" spans="1:34" x14ac:dyDescent="0.2">
      <c r="C40" s="47">
        <v>39440</v>
      </c>
      <c r="L40" s="47">
        <v>39806</v>
      </c>
      <c r="O40" s="47"/>
      <c r="X40" s="47">
        <v>40144</v>
      </c>
      <c r="AA40" s="47"/>
    </row>
    <row r="41" spans="1:34" x14ac:dyDescent="0.2">
      <c r="C41" s="47">
        <v>39441</v>
      </c>
      <c r="L41" s="47">
        <v>39807</v>
      </c>
      <c r="O41" s="47"/>
      <c r="X41" s="47">
        <v>40171</v>
      </c>
      <c r="AA41" s="47"/>
    </row>
    <row r="42" spans="1:34" x14ac:dyDescent="0.2">
      <c r="C42" s="47">
        <v>39448</v>
      </c>
      <c r="L42" s="47">
        <v>39814</v>
      </c>
      <c r="O42" s="47"/>
      <c r="X42" s="47">
        <v>40172</v>
      </c>
      <c r="AA42" s="47"/>
    </row>
    <row r="43" spans="1:34" x14ac:dyDescent="0.2">
      <c r="C43" s="47"/>
      <c r="X43" s="47">
        <v>40179</v>
      </c>
    </row>
    <row r="44" spans="1:34" x14ac:dyDescent="0.2">
      <c r="AH44" t="s">
        <v>288</v>
      </c>
    </row>
    <row r="45" spans="1:34" x14ac:dyDescent="0.2">
      <c r="AH45" t="s">
        <v>289</v>
      </c>
    </row>
    <row r="46" spans="1:34" x14ac:dyDescent="0.2">
      <c r="X46" s="10">
        <f>+X2</f>
        <v>2009</v>
      </c>
      <c r="Y46" t="s">
        <v>290</v>
      </c>
      <c r="AD46" s="10">
        <f>+AD2</f>
        <v>2009</v>
      </c>
      <c r="AE46" t="s">
        <v>291</v>
      </c>
    </row>
    <row r="47" spans="1:34" x14ac:dyDescent="0.2">
      <c r="X47" s="39" t="s">
        <v>278</v>
      </c>
      <c r="Y47" s="39" t="s">
        <v>279</v>
      </c>
      <c r="AD47" s="39" t="s">
        <v>278</v>
      </c>
      <c r="AE47" s="39" t="s">
        <v>279</v>
      </c>
    </row>
    <row r="49" spans="1:31" x14ac:dyDescent="0.2">
      <c r="A49">
        <v>41</v>
      </c>
      <c r="B49" t="s">
        <v>106</v>
      </c>
      <c r="X49" s="46">
        <v>39842</v>
      </c>
      <c r="Y49" s="45">
        <f>WORKDAY(X49,1,X$33:X$43)</f>
        <v>39843</v>
      </c>
      <c r="AD49" s="46">
        <v>40025</v>
      </c>
      <c r="AE49" s="45">
        <f>WORKDAY(AD49,1,AD$33:AD$43)</f>
        <v>40028</v>
      </c>
    </row>
    <row r="50" spans="1:31" x14ac:dyDescent="0.2">
      <c r="A50">
        <v>42</v>
      </c>
      <c r="B50" t="s">
        <v>106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July - New Basic Rates</vt:lpstr>
      <vt:lpstr>Pwr Factor</vt:lpstr>
      <vt:lpstr>Dates</vt:lpstr>
      <vt:lpstr>'Calc. July - New Basic Rates'!Print_Area</vt:lpstr>
      <vt:lpstr>'Calc. July - New Basic Rates'!Print_Titles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2024-08-29T19:44:27Z</dcterms:modified>
  <cp:category/>
  <cp:contentStatus/>
</cp:coreProperties>
</file>