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8_{8216F803-3050-41BB-A201-A5F533418B3D}" xr6:coauthVersionLast="47" xr6:coauthVersionMax="47" xr10:uidLastSave="{00000000-0000-0000-0000-000000000000}"/>
  <workbookProtection workbookAlgorithmName="SHA-512" workbookHashValue="rhVsbUbyw7lkzWvOwePFrVh9B/s8mljcSL+BpPv9n10vObhI8JlYVl+ITesJglcUuw5w/k+dAO20GLuLHEykIw==" workbookSaltValue="I+Ahde61zuvxzB/30oAX5A==" workbookSpinCount="100000" lockStructure="1"/>
  <bookViews>
    <workbookView xWindow="-289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Aug. - New Basic Rates" sheetId="15" state="hidden" r:id="rId6"/>
    <sheet name="Pwr Factor" sheetId="2" state="hidden" r:id="rId7"/>
    <sheet name="Dates" sheetId="3" state="hidden" r:id="rId8"/>
  </sheets>
  <definedNames>
    <definedName name="_xlnm.Print_Area" localSheetId="5">'Calc. Aug. - New Basic Rates'!$A$1:$AB$995</definedName>
    <definedName name="_xlnm.Print_Titles" localSheetId="5">'Calc. Aug. - New Basic Rates'!$1:$39</definedName>
    <definedName name="_xlnm.Print_Titles" localSheetId="7">Dates!$A:$B</definedName>
    <definedName name="solver_adj" localSheetId="5" hidden="1">'Calc. Aug.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Aug.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3" i="11" l="1"/>
  <c r="C27" i="10" a="1"/>
  <c r="C27" i="10" s="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B862" i="15"/>
  <c r="B860" i="15"/>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56" i="11"/>
  <c r="J67" i="11"/>
  <c r="H67" i="11"/>
  <c r="E67" i="11"/>
  <c r="G67" i="11" s="1"/>
  <c r="H66" i="11"/>
  <c r="J66" i="11" s="1"/>
  <c r="E66" i="11"/>
  <c r="G66" i="11" s="1"/>
  <c r="H65" i="11"/>
  <c r="J65" i="11" s="1"/>
  <c r="E65" i="11"/>
  <c r="G65" i="11" s="1"/>
  <c r="H64" i="11"/>
  <c r="J64" i="11" s="1"/>
  <c r="E64" i="11"/>
  <c r="G64" i="11" s="1"/>
  <c r="H63" i="11"/>
  <c r="J63" i="11" s="1"/>
  <c r="E63" i="11"/>
  <c r="G63" i="11" s="1"/>
  <c r="H62" i="11"/>
  <c r="J62" i="11" s="1"/>
  <c r="E62" i="11"/>
  <c r="G62" i="11" s="1"/>
  <c r="H61" i="11"/>
  <c r="J61" i="11" s="1"/>
  <c r="E61" i="11"/>
  <c r="G61" i="11" s="1"/>
  <c r="H60" i="11"/>
  <c r="J60" i="11" s="1"/>
  <c r="E60" i="11"/>
  <c r="G60" i="11" s="1"/>
  <c r="H59" i="11"/>
  <c r="J59" i="11" s="1"/>
  <c r="E59" i="11"/>
  <c r="G59" i="11" s="1"/>
  <c r="H58" i="11"/>
  <c r="J58" i="11" s="1"/>
  <c r="E58" i="11"/>
  <c r="G58" i="11" s="1"/>
  <c r="J57" i="11"/>
  <c r="E57" i="11"/>
  <c r="C57" i="11" s="1"/>
  <c r="J56" i="11"/>
  <c r="G56" i="11"/>
  <c r="K420" i="15"/>
  <c r="J420" i="15"/>
  <c r="M70" i="15"/>
  <c r="L70" i="15"/>
  <c r="K70" i="15"/>
  <c r="J70" i="15"/>
  <c r="F70" i="15"/>
  <c r="G57" i="11" l="1"/>
  <c r="C63" i="11"/>
  <c r="C61" i="11"/>
  <c r="C62" i="11"/>
  <c r="C60" i="11"/>
  <c r="C67" i="11"/>
  <c r="C59" i="11"/>
  <c r="C66" i="11"/>
  <c r="C58" i="11"/>
  <c r="C65" i="11"/>
  <c r="C64" i="11"/>
  <c r="V286" i="15"/>
  <c r="V862" i="15"/>
  <c r="V864" i="15"/>
  <c r="V856" i="15"/>
  <c r="V858" i="15"/>
  <c r="J858" i="15"/>
  <c r="V860" i="15"/>
  <c r="H860" i="15"/>
  <c r="H858" i="15"/>
  <c r="K858" i="15"/>
  <c r="N858" i="15" s="1"/>
  <c r="H856" i="15"/>
  <c r="J856" i="15"/>
  <c r="K856" i="15"/>
  <c r="N856" i="15" s="1"/>
  <c r="M856" i="15"/>
  <c r="L856" i="15"/>
  <c r="L864" i="15"/>
  <c r="M864" i="15"/>
  <c r="M858" i="15"/>
  <c r="L858" i="15"/>
  <c r="M862" i="15"/>
  <c r="Q862" i="15" s="1"/>
  <c r="J860" i="15"/>
  <c r="H862" i="15"/>
  <c r="K860" i="15"/>
  <c r="N860" i="15" s="1"/>
  <c r="J862" i="15"/>
  <c r="H864" i="15"/>
  <c r="L860" i="15"/>
  <c r="Q860" i="15" s="1"/>
  <c r="K862" i="15"/>
  <c r="N862" i="15" s="1"/>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AA856" i="15" l="1"/>
  <c r="AA858" i="15"/>
  <c r="AA862" i="15"/>
  <c r="AA864" i="15"/>
  <c r="AA860" i="15"/>
  <c r="U858" i="15"/>
  <c r="U864" i="15"/>
  <c r="U862" i="15"/>
  <c r="U856" i="15"/>
  <c r="U860" i="15"/>
  <c r="X876" i="15"/>
  <c r="X856" i="15"/>
  <c r="X864" i="15"/>
  <c r="X858" i="15"/>
  <c r="X860" i="15"/>
  <c r="X862" i="15"/>
  <c r="W210" i="15"/>
  <c r="Y864" i="15"/>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W790" i="15" l="1"/>
  <c r="W856" i="15"/>
  <c r="W862" i="15"/>
  <c r="W860" i="15"/>
  <c r="W858" i="15"/>
  <c r="W864" i="15"/>
  <c r="D34" i="10"/>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D27" i="10" s="1"/>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C49" i="11" l="1"/>
  <c r="G778" i="15"/>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56" i="15" l="1"/>
  <c r="S858" i="15"/>
  <c r="S864" i="15"/>
  <c r="S860" i="15"/>
  <c r="S862" i="15"/>
  <c r="D40" i="10"/>
  <c r="D41" i="10" s="1"/>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I29" i="3" s="1"/>
  <c r="CN6" i="3"/>
  <c r="CP6" i="3"/>
  <c r="CR6" i="3"/>
  <c r="CT6" i="3"/>
  <c r="CV6" i="3"/>
  <c r="CX6" i="3"/>
  <c r="CZ6" i="3"/>
  <c r="DB6" i="3"/>
  <c r="DD6" i="3"/>
  <c r="DF6" i="3"/>
  <c r="DH6" i="3"/>
  <c r="DJ6" i="3"/>
  <c r="DL6" i="3"/>
  <c r="DN6" i="3"/>
  <c r="DP6" i="3"/>
  <c r="DR6" i="3"/>
  <c r="DO29" i="3" s="1"/>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U16" i="3" s="1"/>
  <c r="AV9" i="3"/>
  <c r="AX9" i="3"/>
  <c r="AZ9" i="3"/>
  <c r="BB9" i="3"/>
  <c r="BD9" i="3"/>
  <c r="BF9" i="3"/>
  <c r="BH9" i="3"/>
  <c r="BJ9" i="3"/>
  <c r="BL9" i="3"/>
  <c r="BN9" i="3"/>
  <c r="BP9" i="3"/>
  <c r="BR9" i="3"/>
  <c r="BT9" i="3"/>
  <c r="BV9" i="3"/>
  <c r="BX9" i="3"/>
  <c r="BZ9" i="3"/>
  <c r="CA16" i="3" s="1"/>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Q14" i="3" s="1"/>
  <c r="S14" i="3"/>
  <c r="V14" i="3"/>
  <c r="Y14" i="3"/>
  <c r="Z14" i="3" s="1"/>
  <c r="AB14" i="3"/>
  <c r="AE14" i="3"/>
  <c r="AH14" i="3"/>
  <c r="AL14" i="3"/>
  <c r="AN14" i="3"/>
  <c r="AP14" i="3"/>
  <c r="AR14" i="3"/>
  <c r="AT14" i="3"/>
  <c r="AU14" i="3" s="1"/>
  <c r="AV14" i="3"/>
  <c r="AX14" i="3"/>
  <c r="AZ14" i="3"/>
  <c r="BB14" i="3"/>
  <c r="BC14" i="3" s="1"/>
  <c r="BD14" i="3"/>
  <c r="BF14" i="3"/>
  <c r="BH14" i="3"/>
  <c r="BJ14" i="3"/>
  <c r="BK14" i="3" s="1"/>
  <c r="BL14" i="3"/>
  <c r="BN14" i="3"/>
  <c r="BP14" i="3"/>
  <c r="BR14" i="3"/>
  <c r="BT14" i="3"/>
  <c r="BV14" i="3"/>
  <c r="BX14" i="3"/>
  <c r="BZ14" i="3"/>
  <c r="CA14" i="3" s="1"/>
  <c r="CB14" i="3"/>
  <c r="CD14" i="3"/>
  <c r="CF14" i="3"/>
  <c r="CH14" i="3"/>
  <c r="CI14" i="3"/>
  <c r="CJ14" i="3"/>
  <c r="CL14" i="3"/>
  <c r="CN14" i="3"/>
  <c r="CP14" i="3"/>
  <c r="CQ14" i="3" s="1"/>
  <c r="CR14" i="3"/>
  <c r="CT14" i="3"/>
  <c r="CV14" i="3"/>
  <c r="CX14" i="3"/>
  <c r="CY14" i="3" s="1"/>
  <c r="CZ14" i="3"/>
  <c r="DB14" i="3"/>
  <c r="DD14" i="3"/>
  <c r="DF14" i="3"/>
  <c r="DG14" i="3" s="1"/>
  <c r="DH14" i="3"/>
  <c r="DJ14" i="3"/>
  <c r="DL14" i="3"/>
  <c r="DN14" i="3"/>
  <c r="DO14" i="3" s="1"/>
  <c r="DP14" i="3"/>
  <c r="DR14" i="3"/>
  <c r="DT14" i="3"/>
  <c r="DV14" i="3"/>
  <c r="DW14" i="3" s="1"/>
  <c r="DX14" i="3"/>
  <c r="DZ14" i="3"/>
  <c r="EB14" i="3"/>
  <c r="ED14" i="3"/>
  <c r="EE14" i="3" s="1"/>
  <c r="EF14" i="3"/>
  <c r="EH14" i="3"/>
  <c r="EJ14" i="3"/>
  <c r="EL14" i="3"/>
  <c r="EM14" i="3" s="1"/>
  <c r="EN14" i="3"/>
  <c r="EP14" i="3"/>
  <c r="D15" i="3"/>
  <c r="G15" i="3"/>
  <c r="J15" i="3"/>
  <c r="K15" i="3" s="1"/>
  <c r="M15" i="3"/>
  <c r="P15" i="3"/>
  <c r="S15" i="3"/>
  <c r="T15" i="3" s="1"/>
  <c r="V15" i="3"/>
  <c r="Y15" i="3"/>
  <c r="AB15" i="3"/>
  <c r="AC15" i="3" s="1"/>
  <c r="AE15" i="3"/>
  <c r="AH15" i="3"/>
  <c r="AI15" i="3" s="1"/>
  <c r="AL15" i="3"/>
  <c r="AM15" i="3" s="1"/>
  <c r="AN15" i="3"/>
  <c r="AP15" i="3"/>
  <c r="AQ15" i="3" s="1"/>
  <c r="AR15" i="3"/>
  <c r="AT15" i="3"/>
  <c r="AV15" i="3"/>
  <c r="AX15" i="3"/>
  <c r="AZ15" i="3"/>
  <c r="BB15" i="3"/>
  <c r="BD15" i="3"/>
  <c r="BF15" i="3"/>
  <c r="BG15" i="3" s="1"/>
  <c r="BH15" i="3"/>
  <c r="BJ15" i="3"/>
  <c r="BL15" i="3"/>
  <c r="BN15" i="3"/>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s="1"/>
  <c r="DT15" i="3"/>
  <c r="DV15" i="3"/>
  <c r="DX15" i="3"/>
  <c r="DZ15" i="3"/>
  <c r="EB15" i="3"/>
  <c r="ED15" i="3"/>
  <c r="EF15" i="3"/>
  <c r="EH15" i="3"/>
  <c r="EI15" i="3" s="1"/>
  <c r="EJ15" i="3"/>
  <c r="EL15" i="3"/>
  <c r="EN15" i="3"/>
  <c r="EP15" i="3"/>
  <c r="D16" i="3"/>
  <c r="E16" i="3" s="1"/>
  <c r="G16" i="3"/>
  <c r="J16" i="3"/>
  <c r="M16" i="3"/>
  <c r="N16" i="3"/>
  <c r="P16" i="3"/>
  <c r="S16" i="3"/>
  <c r="V16" i="3"/>
  <c r="W16" i="3" s="1"/>
  <c r="Y16" i="3"/>
  <c r="AB16" i="3"/>
  <c r="AC16" i="3"/>
  <c r="AE16" i="3"/>
  <c r="AH16" i="3"/>
  <c r="AI16" i="3" s="1"/>
  <c r="AL16" i="3"/>
  <c r="AM16" i="3" s="1"/>
  <c r="AN16" i="3"/>
  <c r="AP16" i="3"/>
  <c r="AR16" i="3"/>
  <c r="AT16" i="3"/>
  <c r="AV16" i="3"/>
  <c r="AX16" i="3"/>
  <c r="AZ16" i="3"/>
  <c r="BB16" i="3"/>
  <c r="BC16" i="3" s="1"/>
  <c r="BD16" i="3"/>
  <c r="BF16" i="3"/>
  <c r="BH16" i="3"/>
  <c r="BJ16" i="3"/>
  <c r="BL16" i="3"/>
  <c r="BN16" i="3"/>
  <c r="BP16" i="3"/>
  <c r="BR16" i="3"/>
  <c r="BS16" i="3" s="1"/>
  <c r="BT16" i="3"/>
  <c r="BV16" i="3"/>
  <c r="BW16" i="3" s="1"/>
  <c r="BX16" i="3"/>
  <c r="BZ16" i="3"/>
  <c r="CB16" i="3"/>
  <c r="CD16" i="3"/>
  <c r="CF16" i="3"/>
  <c r="CH16" i="3"/>
  <c r="CI16" i="3" s="1"/>
  <c r="CJ16" i="3"/>
  <c r="CL16" i="3"/>
  <c r="CN16" i="3"/>
  <c r="CP16" i="3"/>
  <c r="CR16" i="3"/>
  <c r="CT16" i="3"/>
  <c r="CU16" i="3" s="1"/>
  <c r="CV16" i="3"/>
  <c r="CX16" i="3"/>
  <c r="CY16" i="3" s="1"/>
  <c r="CZ16" i="3"/>
  <c r="DB16" i="3"/>
  <c r="DD16" i="3"/>
  <c r="DF16" i="3"/>
  <c r="DG16" i="3" s="1"/>
  <c r="DH16" i="3"/>
  <c r="DJ16" i="3"/>
  <c r="DL16" i="3"/>
  <c r="DN16" i="3"/>
  <c r="DO16" i="3" s="1"/>
  <c r="DP16" i="3"/>
  <c r="DR16" i="3"/>
  <c r="DT16" i="3"/>
  <c r="DV16" i="3"/>
  <c r="DX16" i="3"/>
  <c r="DZ16" i="3"/>
  <c r="EB16" i="3"/>
  <c r="ED16" i="3"/>
  <c r="EE16" i="3" s="1"/>
  <c r="EF16" i="3"/>
  <c r="EH16" i="3"/>
  <c r="EI16" i="3"/>
  <c r="EJ16" i="3"/>
  <c r="EL16" i="3"/>
  <c r="EM16" i="3" s="1"/>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C24" i="3"/>
  <c r="BD24" i="3"/>
  <c r="BF24" i="3"/>
  <c r="BG24" i="3" s="1"/>
  <c r="BH24" i="3"/>
  <c r="BJ24" i="3"/>
  <c r="BL24" i="3"/>
  <c r="BN24" i="3"/>
  <c r="BP24" i="3"/>
  <c r="BR24" i="3"/>
  <c r="BT24" i="3"/>
  <c r="BV24" i="3"/>
  <c r="BW24" i="3" s="1"/>
  <c r="BX24" i="3"/>
  <c r="BZ24" i="3"/>
  <c r="CA24" i="3" s="1"/>
  <c r="CB24" i="3"/>
  <c r="CD24" i="3"/>
  <c r="CF24" i="3"/>
  <c r="CH24" i="3"/>
  <c r="CJ24" i="3"/>
  <c r="CL24" i="3"/>
  <c r="CM24" i="3" s="1"/>
  <c r="CN24" i="3"/>
  <c r="CP24" i="3"/>
  <c r="CR24" i="3"/>
  <c r="CT24" i="3"/>
  <c r="CV24" i="3"/>
  <c r="CX24" i="3"/>
  <c r="CZ24" i="3"/>
  <c r="DB24" i="3"/>
  <c r="DC24" i="3" s="1"/>
  <c r="DD24" i="3"/>
  <c r="DF24" i="3"/>
  <c r="DH24" i="3"/>
  <c r="DJ24" i="3"/>
  <c r="DL24" i="3"/>
  <c r="DN24" i="3"/>
  <c r="DO24" i="3" s="1"/>
  <c r="DP24" i="3"/>
  <c r="DR24" i="3"/>
  <c r="DS24" i="3"/>
  <c r="DT24" i="3"/>
  <c r="DV24" i="3"/>
  <c r="DX24" i="3"/>
  <c r="DZ24" i="3"/>
  <c r="EB24" i="3"/>
  <c r="ED24" i="3"/>
  <c r="EF24" i="3"/>
  <c r="EH24" i="3"/>
  <c r="EI24" i="3" s="1"/>
  <c r="EJ24" i="3"/>
  <c r="EL24" i="3"/>
  <c r="EN24" i="3"/>
  <c r="EP24" i="3"/>
  <c r="EQ24" i="3" s="1"/>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G29" i="3" s="1"/>
  <c r="BH29" i="3"/>
  <c r="BJ29" i="3"/>
  <c r="BK29" i="3" s="1"/>
  <c r="BL29" i="3"/>
  <c r="BN29" i="3"/>
  <c r="BP29" i="3"/>
  <c r="BR29" i="3"/>
  <c r="BT29" i="3"/>
  <c r="BV29" i="3"/>
  <c r="BW29" i="3" s="1"/>
  <c r="BX29" i="3"/>
  <c r="BZ29" i="3"/>
  <c r="CA29" i="3" s="1"/>
  <c r="CB29" i="3"/>
  <c r="CD29" i="3"/>
  <c r="CE29" i="3" s="1"/>
  <c r="CF29" i="3"/>
  <c r="CH29" i="3"/>
  <c r="CJ29" i="3"/>
  <c r="CL29" i="3"/>
  <c r="CN29" i="3"/>
  <c r="CP29" i="3"/>
  <c r="CQ29" i="3" s="1"/>
  <c r="CR29" i="3"/>
  <c r="CT29" i="3"/>
  <c r="CV29" i="3"/>
  <c r="CX29" i="3"/>
  <c r="CZ29" i="3"/>
  <c r="DB29" i="3"/>
  <c r="DC29" i="3" s="1"/>
  <c r="DD29" i="3"/>
  <c r="DF29" i="3"/>
  <c r="DG29" i="3" s="1"/>
  <c r="DH29" i="3"/>
  <c r="DJ29" i="3"/>
  <c r="DL29" i="3"/>
  <c r="DN29" i="3"/>
  <c r="DP29" i="3"/>
  <c r="DR29" i="3"/>
  <c r="DS29" i="3" s="1"/>
  <c r="DT29" i="3"/>
  <c r="DV29" i="3"/>
  <c r="DW29" i="3" s="1"/>
  <c r="DX29" i="3"/>
  <c r="DZ29" i="3"/>
  <c r="EB29" i="3"/>
  <c r="ED29" i="3"/>
  <c r="EF29" i="3"/>
  <c r="EH29" i="3"/>
  <c r="EI29" i="3" s="1"/>
  <c r="EJ29" i="3"/>
  <c r="EL29" i="3"/>
  <c r="EM29" i="3" s="1"/>
  <c r="EN29" i="3"/>
  <c r="EP29" i="3"/>
  <c r="EQ29" i="3" s="1"/>
  <c r="X46" i="3"/>
  <c r="Y49" i="3"/>
  <c r="AE49" i="3"/>
  <c r="Y50" i="3"/>
  <c r="AE50" i="3"/>
  <c r="AY29" i="3" l="1"/>
  <c r="DW16" i="3"/>
  <c r="BO15" i="3"/>
  <c r="AY15" i="3"/>
  <c r="AF15" i="3"/>
  <c r="H15" i="3"/>
  <c r="Z15" i="3"/>
  <c r="BS14" i="3"/>
  <c r="EA24" i="3"/>
  <c r="BK16" i="3"/>
  <c r="CU14" i="3"/>
  <c r="AM14" i="3"/>
  <c r="N14" i="3"/>
  <c r="CQ16" i="3"/>
  <c r="EE29" i="3"/>
  <c r="DK24" i="3"/>
  <c r="CU24" i="3"/>
  <c r="CY29" i="3"/>
  <c r="CE24" i="3"/>
  <c r="Z16" i="3"/>
  <c r="AF14" i="3"/>
  <c r="BO24" i="3"/>
  <c r="DK29" i="3"/>
  <c r="BS29" i="3"/>
  <c r="BC29" i="3"/>
  <c r="DG24" i="3"/>
  <c r="EQ15" i="3"/>
  <c r="EA15"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<sst xmlns="http://schemas.openxmlformats.org/spreadsheetml/2006/main" count="1963" uniqueCount="336">
  <si>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</si>
  <si>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</si>
  <si>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</si>
  <si>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</si>
  <si>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</si>
  <si>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</si>
  <si>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</si>
  <si>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</si>
  <si>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</si>
  <si>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</si>
  <si>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</si>
  <si>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</si>
  <si>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</si>
  <si>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</si>
  <si>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</si>
  <si>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</si>
  <si>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</si>
  <si>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</si>
  <si>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</si>
  <si>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</si>
  <si>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</si>
  <si>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</si>
  <si>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</si>
  <si>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</si>
  <si>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</si>
  <si>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</si>
  <si>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</si>
  <si>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</si>
  <si>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</si>
  <si>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</si>
  <si>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</si>
  <si>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</si>
  <si>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</si>
  <si>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</si>
  <si>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</si>
  <si>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</si>
  <si>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</si>
  <si>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</si>
  <si>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</si>
  <si>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</si>
  <si>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</si>
  <si>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</si>
  <si>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</si>
  <si>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</si>
  <si>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</si>
  <si>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</si>
  <si>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</si>
  <si>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</si>
  <si>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</si>
  <si>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</si>
  <si>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</si>
  <si>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</si>
  <si>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</si>
  <si>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</si>
  <si>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</si>
  <si>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</si>
  <si>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</si>
  <si>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</si>
  <si>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</si>
  <si>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</si>
  <si>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</si>
  <si>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</si>
  <si>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</si>
  <si>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</si>
  <si>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</si>
  <si>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</si>
  <si>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</si>
  <si>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</si>
  <si>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</si>
  <si>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</si>
  <si>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</si>
  <si>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</si>
  <si>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</si>
  <si>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</si>
  <si>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</si>
  <si>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</si>
  <si>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</si>
  <si>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</si>
  <si>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</si>
  <si>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</si>
  <si>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</si>
  <si>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</si>
  <si>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</si>
  <si>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</si>
  <si>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</si>
  <si>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</si>
  <si>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</si>
  <si>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</si>
  <si>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</si>
  <si>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</si>
  <si>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</si>
  <si>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</si>
  <si>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</si>
  <si>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</si>
  <si>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</si>
  <si>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</si>
  <si>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</si>
  <si>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</si>
  <si>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</si>
  <si>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</si>
  <si>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</si>
  <si>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</si>
  <si>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</si>
  <si>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</si>
  <si>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</si>
  <si>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</si>
  <si>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</si>
  <si>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</si>
  <si>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</si>
  <si>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</si>
  <si>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</si>
  <si>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</si>
  <si>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</si>
  <si>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</si>
  <si>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</si>
  <si>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</si>
  <si>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</si>
  <si>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</si>
  <si>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</si>
  <si>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</si>
  <si>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</si>
  <si>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</si>
  <si>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</si>
  <si>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</si>
  <si>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</si>
  <si>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</si>
  <si>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</si>
  <si>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</si>
  <si>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</si>
  <si>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</si>
  <si>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</si>
  <si>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</si>
  <si>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</si>
  <si>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</si>
  <si>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</si>
  <si>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</si>
  <si>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</si>
  <si>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</si>
  <si>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</si>
  <si>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</si>
  <si>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</si>
  <si>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</si>
  <si>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</si>
  <si>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</si>
  <si>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</si>
  <si>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</si>
  <si>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</si>
  <si>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</si>
  <si>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</si>
  <si>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</si>
  <si>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</si>
  <si>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</si>
  <si>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</si>
  <si>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</si>
  <si>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</si>
  <si>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</si>
  <si>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</si>
  <si>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</si>
  <si>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</si>
  <si>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</si>
  <si>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</si>
  <si>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</si>
  <si>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</si>
  <si>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</si>
  <si>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</si>
  <si>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</si>
  <si>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</si>
  <si>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</si>
  <si>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</si>
  <si>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</si>
  <si>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</si>
  <si>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</si>
  <si>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</si>
  <si>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</si>
  <si>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</si>
  <si>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</si>
  <si>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</si>
  <si>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</si>
  <si>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</si>
  <si>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</si>
  <si>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</si>
  <si>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</si>
  <si>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</si>
  <si>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</si>
  <si>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</si>
  <si>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</si>
  <si>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</si>
  <si>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</si>
  <si>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</si>
  <si>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</si>
  <si>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</si>
  <si>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</si>
  <si>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</si>
  <si>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</si>
  <si>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</si>
  <si>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</si>
  <si>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</si>
  <si>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</si>
  <si>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</si>
  <si>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</si>
  <si>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</si>
  <si>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</si>
  <si>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</si>
  <si>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</si>
  <si>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</si>
  <si>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</si>
  <si>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</si>
  <si>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</si>
  <si>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</si>
  <si>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</si>
  <si>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</si>
  <si>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</si>
  <si>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</si>
  <si>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</si>
  <si>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</si>
  <si>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</si>
  <si>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</si>
  <si>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</si>
  <si>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</si>
  <si>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</si>
  <si>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</si>
  <si>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</si>
  <si>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</si>
  <si>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</si>
  <si>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</si>
  <si>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</si>
  <si>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</si>
  <si>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</si>
  <si>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</si>
  <si>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</si>
  <si>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</si>
  <si>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</si>
  <si>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</si>
  <si>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</si>
  <si>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</si>
  <si>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</si>
  <si>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</si>
  <si>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</si>
  <si>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</si>
  <si>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</si>
  <si>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</si>
  <si>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</si>
  <si>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</si>
  <si>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</si>
  <si>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</si>
  <si>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</si>
  <si>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</si>
  <si>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</si>
  <si>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</si>
  <si>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</si>
  <si>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</si>
  <si>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</si>
  <si>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</si>
  <si>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</si>
  <si>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</si>
  <si>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</si>
  <si>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</si>
  <si>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</si>
  <si>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</si>
  <si>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</si>
  <si>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</si>
  <si>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</si>
  <si>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</si>
  <si>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</si>
  <si>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</si>
  <si>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</si>
  <si>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</si>
  <si>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</si>
  <si>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</si>
  <si>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</si>
  <si>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</si>
  <si>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</si>
  <si>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</si>
  <si>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</si>
  <si>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</si>
  <si>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</si>
  <si>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</si>
  <si>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</si>
  <si>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</si>
  <si>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</si>
  <si>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</si>
  <si>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</si>
  <si>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</si>
  <si>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</si>
  <si>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</si>
  <si>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</si>
  <si>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</si>
  <si>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</si>
  <si>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</si>
  <si>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</si>
  <si>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</si>
  <si>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</si>
  <si>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</si>
  <si>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</si>
  <si>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</si>
  <si>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</si>
  <si>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</si>
  <si>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</si>
  <si>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</si>
  <si>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</si>
  <si>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</si>
  <si>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</si>
  <si>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</si>
  <si>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</si>
  <si>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</si>
  <si>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</si>
  <si>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</si>
  <si>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</si>
  <si>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</si>
  <si>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</si>
  <si>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</si>
  <si>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</si>
  <si>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</si>
  <si>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</si>
  <si>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</si>
  <si>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</si>
  <si>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</si>
  <si>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</si>
  <si>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</si>
  <si>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</si>
  <si>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</si>
  <si>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</si>
  <si>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</si>
  <si>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</si>
  <si>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</si>
  <si>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</si>
  <si>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</si>
  <si>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</si>
  <si>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</si>
  <si>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</si>
  <si>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</si>
  <si>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</si>
  <si>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</si>
  <si>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</si>
  <si>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August 2024 Monthly Bill Calculator</t>
  </si>
  <si>
    <t>Please check the dates you entered. The dates you entered are valid for the July 2024 billing cycle. If valid, please use AES Indiana's July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</si>
</sst>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6.5"/>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21"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3" fillId="5" borderId="7" xfId="0" applyFont="1" applyFill="1" applyBorder="1" applyAlignment="1" applyProtection="1">
      <alignment horizontal="center"/>
      <protection locked="0"/>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5" xfId="10" applyFont="1" applyBorder="1" applyAlignment="1" applyProtection="1">
      <alignment horizontal="left" indent="2"/>
      <protection hidden="1"/>
    </xf>
    <xf numFmtId="0" fontId="6" fillId="0" borderId="0" xfId="0" applyFont="1" applyProtection="1">
      <protection hidden="1"/>
    </xf>
    <xf numFmtId="44" fontId="3" fillId="0" borderId="9" xfId="0" applyNumberFormat="1" applyFont="1" applyBorder="1" applyProtection="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20"/>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1594104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3/Rider-6-FAC-142-38703-Effective-2-29-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4-04/Rider-21_GPR-16_44121_Effective_08-31-2023_2.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75" x14ac:dyDescent="0.2"/>
  <cols>
    <col min="1" max="1" width="11.85546875" customWidth="1"/>
    <col min="2" max="2" width="56.5703125" customWidth="1"/>
    <col min="3" max="3" width="12.7109375" customWidth="1"/>
    <col min="4" max="4" width="24.140625" customWidth="1"/>
    <col min="6" max="6" width="8.85546875" bestFit="1" customWidth="1"/>
  </cols>
  <sheetData>
    <row r="1" spans="1:4" ht="15.75" customHeight="1" x14ac:dyDescent="0.2">
      <c r="A1" s="227"/>
      <c r="B1" s="248" t="str">
        <f>'Calc. Aug. - New Basic Rates'!B2</f>
        <v>August 2024 Monthly Bill Calculator</v>
      </c>
      <c r="C1" s="248"/>
      <c r="D1" s="248"/>
    </row>
    <row r="2" spans="1:4" ht="12.6" customHeight="1" x14ac:dyDescent="0.2">
      <c r="A2" s="227"/>
      <c r="B2" s="248"/>
      <c r="C2" s="248"/>
      <c r="D2" s="248"/>
    </row>
    <row r="3" spans="1:4" ht="12.6" customHeight="1" x14ac:dyDescent="0.2">
      <c r="A3" s="227"/>
      <c r="B3" s="248"/>
      <c r="C3" s="248"/>
      <c r="D3" s="248"/>
    </row>
    <row r="4" spans="1:4" x14ac:dyDescent="0.2">
      <c r="A4" s="227"/>
      <c r="B4" s="227"/>
      <c r="C4" s="227"/>
      <c r="D4" s="227"/>
    </row>
    <row r="5" spans="1:4" ht="12.75" customHeight="1" x14ac:dyDescent="0.2">
      <c r="A5" s="249" t="s">
        <v>0</v>
      </c>
      <c r="B5" s="250"/>
      <c r="C5" s="250"/>
      <c r="D5" s="251"/>
    </row>
    <row r="6" spans="1:4" ht="12.6" customHeight="1" x14ac:dyDescent="0.2">
      <c r="A6" s="252" t="s">
        <v>1</v>
      </c>
      <c r="B6" s="253"/>
      <c r="C6" s="253"/>
      <c r="D6" s="254"/>
    </row>
    <row r="7" spans="1:4" x14ac:dyDescent="0.2">
      <c r="A7" s="255"/>
      <c r="B7" s="256"/>
      <c r="C7" s="256"/>
      <c r="D7" s="257"/>
    </row>
    <row r="8" spans="1:4" x14ac:dyDescent="0.2">
      <c r="A8" s="258" t="s">
        <v>2</v>
      </c>
      <c r="B8" s="259"/>
      <c r="C8" s="259"/>
      <c r="D8" s="260"/>
    </row>
    <row r="9" spans="1:4" x14ac:dyDescent="0.2">
      <c r="A9" s="261"/>
      <c r="B9" s="262"/>
      <c r="C9" s="262"/>
      <c r="D9" s="262"/>
    </row>
    <row r="10" spans="1:4" ht="12.6" customHeight="1" x14ac:dyDescent="0.2">
      <c r="A10" s="245" t="s">
        <v>3</v>
      </c>
      <c r="B10" s="182" t="s">
        <v>4</v>
      </c>
      <c r="C10" s="182"/>
      <c r="D10" s="183"/>
    </row>
    <row r="11" spans="1:4" x14ac:dyDescent="0.2">
      <c r="A11" s="246" t="s">
        <v>5</v>
      </c>
      <c r="B11" s="247" t="s">
        <v>6</v>
      </c>
      <c r="C11" s="247"/>
      <c r="D11" s="137"/>
    </row>
    <row r="12" spans="1:4" x14ac:dyDescent="0.2">
      <c r="A12" s="246" t="s">
        <v>7</v>
      </c>
      <c r="B12" s="235" t="s">
        <v>8</v>
      </c>
      <c r="C12" s="235"/>
      <c r="D12" s="136"/>
    </row>
    <row r="13" spans="1:4" ht="12.6" customHeight="1" x14ac:dyDescent="0.2">
      <c r="A13" s="239">
        <f>VLOOKUP("X",Inputs!C32:L72,9,FALSE)</f>
        <v>0</v>
      </c>
      <c r="B13" s="240"/>
      <c r="C13" s="240"/>
      <c r="D13" s="241"/>
    </row>
    <row r="14" spans="1:4" x14ac:dyDescent="0.2">
      <c r="A14" s="242"/>
      <c r="B14" s="243"/>
      <c r="C14" s="243"/>
      <c r="D14" s="244"/>
    </row>
    <row r="15" spans="1:4" x14ac:dyDescent="0.2">
      <c r="A15" s="227"/>
      <c r="B15" s="227"/>
      <c r="C15" s="227"/>
      <c r="D15" s="227"/>
    </row>
    <row r="16" spans="1:4" ht="12.75" customHeight="1" x14ac:dyDescent="0.2">
      <c r="A16" s="245" t="s">
        <v>3</v>
      </c>
      <c r="B16" s="182" t="s">
        <v>9</v>
      </c>
      <c r="C16" s="182"/>
      <c r="D16" s="183"/>
    </row>
    <row r="17" spans="1:8" x14ac:dyDescent="0.2">
      <c r="A17" s="234" t="s">
        <v>10</v>
      </c>
      <c r="B17" s="235" t="s">
        <v>11</v>
      </c>
      <c r="C17" s="235"/>
      <c r="D17" s="135" t="s">
        <v>49</v>
      </c>
    </row>
    <row r="18" spans="1:8" ht="12.75" customHeight="1" x14ac:dyDescent="0.2">
      <c r="A18" s="234" t="s">
        <v>13</v>
      </c>
      <c r="B18" s="236" t="s">
        <v>14</v>
      </c>
      <c r="C18" s="236"/>
      <c r="D18" s="127" t="s">
        <v>316</v>
      </c>
    </row>
    <row r="19" spans="1:8" x14ac:dyDescent="0.2">
      <c r="A19" s="234" t="s">
        <v>15</v>
      </c>
      <c r="B19" s="236" t="s">
        <v>16</v>
      </c>
      <c r="C19" s="236"/>
      <c r="D19" s="128"/>
    </row>
    <row r="20" spans="1:8" x14ac:dyDescent="0.2">
      <c r="A20" s="234" t="s">
        <v>17</v>
      </c>
      <c r="B20" s="236" t="s">
        <v>18</v>
      </c>
      <c r="C20" s="236"/>
      <c r="D20" s="180" t="s">
        <v>316</v>
      </c>
    </row>
    <row r="21" spans="1:8" x14ac:dyDescent="0.2">
      <c r="A21" s="234" t="s">
        <v>19</v>
      </c>
      <c r="B21" s="235" t="s">
        <v>20</v>
      </c>
      <c r="C21" s="235"/>
      <c r="D21" s="128"/>
    </row>
    <row r="22" spans="1:8" ht="12.75" customHeight="1" x14ac:dyDescent="0.2">
      <c r="A22" s="234" t="s">
        <v>21</v>
      </c>
      <c r="B22" s="236" t="s">
        <v>22</v>
      </c>
      <c r="C22" s="236"/>
      <c r="D22" s="131"/>
    </row>
    <row r="23" spans="1:8" ht="13.5" customHeight="1" x14ac:dyDescent="0.2">
      <c r="A23" s="237" t="s">
        <v>23</v>
      </c>
      <c r="B23" s="238" t="s">
        <v>24</v>
      </c>
      <c r="C23" s="238"/>
      <c r="D23" s="129"/>
    </row>
    <row r="24" spans="1:8" x14ac:dyDescent="0.2">
      <c r="A24" s="211"/>
      <c r="B24" s="211"/>
      <c r="C24" s="211"/>
      <c r="D24" s="211"/>
    </row>
    <row r="25" spans="1:8" ht="15" x14ac:dyDescent="0.25">
      <c r="A25" s="212" t="s">
        <v>25</v>
      </c>
      <c r="B25" s="213"/>
      <c r="C25" s="214" t="s">
        <v>26</v>
      </c>
      <c r="D25" s="215" t="s">
        <v>317</v>
      </c>
      <c r="H25" s="144"/>
    </row>
    <row r="26" spans="1:8" x14ac:dyDescent="0.2">
      <c r="A26" s="216" t="s">
        <v>27</v>
      </c>
      <c r="B26" s="217"/>
      <c r="C26" s="217"/>
      <c r="D26" s="218"/>
    </row>
    <row r="27" spans="1:8" x14ac:dyDescent="0.2">
      <c r="A27" s="219" t="s">
        <v>28</v>
      </c>
      <c r="B27" s="220"/>
      <c r="C27" s="221"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22" t="e">
        <f>VLOOKUP($D$19,'Calc. Aug. - New Basic Rates'!$B$43:$AB$1181,13,FALSE)</f>
        <v>#N/A</v>
      </c>
      <c r="F27" s="123"/>
    </row>
    <row r="28" spans="1:8" x14ac:dyDescent="0.2">
      <c r="A28" s="219" t="s">
        <v>29</v>
      </c>
      <c r="B28" s="220"/>
      <c r="C28" s="221"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22" t="e">
        <f>VLOOKUP($D$19,'Calc. Aug. - New Basic Rates'!$B$43:$AB$1181,9,FALSE)</f>
        <v>#N/A</v>
      </c>
      <c r="F28" s="123"/>
    </row>
    <row r="29" spans="1:8" x14ac:dyDescent="0.2">
      <c r="A29" s="219" t="s">
        <v>30</v>
      </c>
      <c r="B29" s="220"/>
      <c r="C29" s="221" t="e" cm="1">
        <f t="array" ref="C29">_xlfn.IFS($D$17="SL",HYPERLINK(Inputs!$F$14,"SL"),$D$17="PL",HYPERLINK(Inputs!$F$16,"PL"),$D$17="PH",HYPERLINK(Inputs!$F$18,"PH"),$D$17="HL1",HYPERLINK(Inputs!$F$20,"HL1"),$D$17="HL2",HYPERLINK(Inputs!$F$20,"HL2"),$D$17="HL3",HYPERLINK(Inputs!$F$20,"HL3"),$D$17="HL4",HYPERLINK(Inputs!$F$21,"HL4"))</f>
        <v>#N/A</v>
      </c>
      <c r="D29" s="222" t="e">
        <f>VLOOKUP($D$19,'Calc. Aug. - New Basic Rates'!$B$42:$AB$1181,16,FALSE)</f>
        <v>#N/A</v>
      </c>
    </row>
    <row r="30" spans="1:8" x14ac:dyDescent="0.2">
      <c r="A30" s="219" t="s">
        <v>31</v>
      </c>
      <c r="B30" s="220"/>
      <c r="C30" s="221" t="e" cm="1">
        <f t="array" ref="C30">_xlfn.IFS($D$17="SL",HYPERLINK(Inputs!$F$15,"SL"),$D$17="PL",HYPERLINK(Inputs!$F$17,"PL"),$D$17="PH",HYPERLINK(Inputs!$F$19,"PH"),$D$17="HL1",HYPERLINK(Inputs!$F$21,"HL1"),$D$17="HL2",HYPERLINK(Inputs!$F$21,"HL2"),$D$17="HL3",HYPERLINK(Inputs!$F$21,"HL3"),$D$17="HL4",HYPERLINK(Inputs!$F$21,"HL4"))</f>
        <v>#N/A</v>
      </c>
      <c r="D30" s="222" t="e">
        <f>VLOOKUP($D$19,'Calc. Aug. - New Basic Rates'!$B$42:$AB$1181,17,FALSE)</f>
        <v>#N/A</v>
      </c>
    </row>
    <row r="31" spans="1:8" x14ac:dyDescent="0.2">
      <c r="A31" s="216" t="s">
        <v>32</v>
      </c>
      <c r="B31" s="217"/>
      <c r="C31" s="217"/>
      <c r="D31" s="218"/>
    </row>
    <row r="32" spans="1:8" x14ac:dyDescent="0.2">
      <c r="A32" s="219" t="s">
        <v>33</v>
      </c>
      <c r="B32" s="220"/>
      <c r="C32" s="177" t="s">
        <v>34</v>
      </c>
      <c r="D32" s="222" t="e">
        <f>VLOOKUP($D$19,'Calc. Aug. - New Basic Rates'!$B$43:$AB$1181,18,FALSE)</f>
        <v>#N/A</v>
      </c>
    </row>
    <row r="33" spans="1:4" x14ac:dyDescent="0.2">
      <c r="A33" s="219" t="s">
        <v>35</v>
      </c>
      <c r="B33" s="220"/>
      <c r="C33" s="177" t="s">
        <v>36</v>
      </c>
      <c r="D33" s="222" t="e">
        <f>VLOOKUP($D$19,'Calc. Aug. - New Basic Rates'!$B$43:$AB$1181,19,FALSE)</f>
        <v>#N/A</v>
      </c>
    </row>
    <row r="34" spans="1:4" ht="26.25" customHeight="1" x14ac:dyDescent="0.2">
      <c r="A34" s="223" t="s">
        <v>37</v>
      </c>
      <c r="B34" s="224"/>
      <c r="C34" s="177" t="s">
        <v>38</v>
      </c>
      <c r="D34" s="225" t="e">
        <f>VLOOKUP($D$19,'Calc. Aug. - New Basic Rates'!$B$43:$AB$1181,20,FALSE)</f>
        <v>#N/A</v>
      </c>
    </row>
    <row r="35" spans="1:4" x14ac:dyDescent="0.2">
      <c r="A35" s="219" t="s">
        <v>39</v>
      </c>
      <c r="B35" s="220"/>
      <c r="C35" s="177" t="s">
        <v>40</v>
      </c>
      <c r="D35" s="222" t="e">
        <f>VLOOKUP($D$19,'Calc. Aug. - New Basic Rates'!$B$43:$AB$1181,21,FALSE)</f>
        <v>#N/A</v>
      </c>
    </row>
    <row r="36" spans="1:4" x14ac:dyDescent="0.2">
      <c r="A36" s="223" t="s">
        <v>41</v>
      </c>
      <c r="B36" s="224"/>
      <c r="C36" s="177" t="s">
        <v>42</v>
      </c>
      <c r="D36" s="222" t="e">
        <f>VLOOKUP($D$19,'Calc. Aug. - New Basic Rates'!$B$43:$AB$1181,23,FALSE)</f>
        <v>#N/A</v>
      </c>
    </row>
    <row r="37" spans="1:4" x14ac:dyDescent="0.2">
      <c r="A37" s="219" t="s">
        <v>43</v>
      </c>
      <c r="B37" s="220"/>
      <c r="C37" s="177" t="s">
        <v>44</v>
      </c>
      <c r="D37" s="222" t="e">
        <f>VLOOKUP($D$19,'Calc. Aug. - New Basic Rates'!$B$43:$AB$1181,24,FALSE)</f>
        <v>#N/A</v>
      </c>
    </row>
    <row r="38" spans="1:4" x14ac:dyDescent="0.2">
      <c r="A38" s="219" t="s">
        <v>45</v>
      </c>
      <c r="B38" s="220"/>
      <c r="C38" s="177" t="s">
        <v>46</v>
      </c>
      <c r="D38" s="222" t="e">
        <f>VLOOKUP($D$19,'Calc. Aug. - New Basic Rates'!$B$43:$AB$1181,25,FALSE)</f>
        <v>#N/A</v>
      </c>
    </row>
    <row r="39" spans="1:4" x14ac:dyDescent="0.2">
      <c r="A39" s="219" t="s">
        <v>47</v>
      </c>
      <c r="B39" s="220"/>
      <c r="C39" s="177" t="s">
        <v>48</v>
      </c>
      <c r="D39" s="226" t="e">
        <f>VLOOKUP($D$19,'Calc. Aug. - New Basic Rates'!$B$43:$AB$1181,26,FALSE)</f>
        <v>#N/A</v>
      </c>
    </row>
    <row r="40" spans="1:4" x14ac:dyDescent="0.2">
      <c r="A40" s="193" t="s">
        <v>311</v>
      </c>
      <c r="B40" s="194"/>
      <c r="C40" s="227"/>
      <c r="D40" s="228" t="e">
        <f>VLOOKUP($D$19,'Calc. Aug. - New Basic Rates'!$B$43:$AB$1181,6,FALSE)</f>
        <v>#N/A</v>
      </c>
    </row>
    <row r="41" spans="1:4" x14ac:dyDescent="0.2">
      <c r="A41" s="195" t="s">
        <v>312</v>
      </c>
      <c r="B41" s="196"/>
      <c r="C41" s="229"/>
      <c r="D41" s="230" t="e">
        <f>D40*0.07</f>
        <v>#N/A</v>
      </c>
    </row>
    <row r="42" spans="1:4" x14ac:dyDescent="0.2">
      <c r="A42" s="197" t="s">
        <v>313</v>
      </c>
      <c r="B42" s="198"/>
      <c r="C42" s="231"/>
      <c r="D42" s="232" t="e">
        <f>SUM(D40:D41)</f>
        <v>#N/A</v>
      </c>
    </row>
    <row r="43" spans="1:4" x14ac:dyDescent="0.2">
      <c r="A43" s="178"/>
      <c r="B43" s="179"/>
      <c r="C43" s="229"/>
      <c r="D43" s="233"/>
    </row>
    <row r="44" spans="1:4" x14ac:dyDescent="0.2">
      <c r="A44" s="181" t="s">
        <v>314</v>
      </c>
      <c r="B44" s="182"/>
      <c r="C44" s="182"/>
      <c r="D44" s="183"/>
    </row>
    <row r="45" spans="1:4" x14ac:dyDescent="0.2">
      <c r="A45" s="184" t="s">
        <v>315</v>
      </c>
      <c r="B45" s="185"/>
      <c r="C45" s="185"/>
      <c r="D45" s="186"/>
    </row>
    <row r="46" spans="1:4" x14ac:dyDescent="0.2">
      <c r="A46" s="187"/>
      <c r="B46" s="188"/>
      <c r="C46" s="188"/>
      <c r="D46" s="189"/>
    </row>
    <row r="47" spans="1:4" x14ac:dyDescent="0.2">
      <c r="A47" s="187"/>
      <c r="B47" s="188"/>
      <c r="C47" s="188"/>
      <c r="D47" s="189"/>
    </row>
    <row r="48" spans="1:4" x14ac:dyDescent="0.2">
      <c r="A48" s="187"/>
      <c r="B48" s="188"/>
      <c r="C48" s="188"/>
      <c r="D48" s="189"/>
    </row>
    <row r="49" spans="1:4" x14ac:dyDescent="0.2">
      <c r="A49" s="187"/>
      <c r="B49" s="188"/>
      <c r="C49" s="188"/>
      <c r="D49" s="189"/>
    </row>
    <row r="50" spans="1:4" x14ac:dyDescent="0.2">
      <c r="A50" s="187"/>
      <c r="B50" s="188"/>
      <c r="C50" s="188"/>
      <c r="D50" s="189"/>
    </row>
    <row r="51" spans="1:4" ht="16.5" customHeight="1" x14ac:dyDescent="0.2">
      <c r="A51" s="190"/>
      <c r="B51" s="191"/>
      <c r="C51" s="191"/>
      <c r="D51" s="192"/>
    </row>
  </sheetData>
  <sheetProtection algorithmName="SHA-512" hashValue="R5l6pPzVmDyQZIDHl1NWe1RNidnjPebGzS5xynarXpW+mrTunqNi6Rh5gy0QkMdnsKS5T/ehzI4saeDTmWu9YQ==" saltValue="PFUFgkFqjWh4Njui6MjzqQ=="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75" x14ac:dyDescent="0.2"/>
  <sheetData/>
  <sheetProtection algorithmName="SHA-512" hashValue="myiHyjb/YROSLQexNTnjDd7Gsxa3Ejzn5fwJRMSav96vN7NcNJuOsFM8k1gr84JijJExAoQ2gWsePuk2mNEVXA==" saltValue="AcNAqLf5Wm8JYsOVYhO6Ng=="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1qqzPgsXCPWpWW6IAUvaisX9hd3qGqQ7+ck9AdnRuMm+xSolAAip4cUJ6ZKLBYffBmQgDgAD4cnSzCpo0LISCA==" saltValue="8CbdAhqzpdshzAT9honrq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5NgOMD0yukKV/67ShkalZCPbKdj8YhENHfjnlcWoVC0tfSZOPsS+q8sqI8Ma65jMPyABRzyZiIGxtANMFMceA==" saltValue="tz/WLFPCMZxDw1l7EVo+7w=="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topLeftCell="A30" workbookViewId="0">
      <selection activeCell="I65" sqref="I65"/>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6" ht="13.5" thickBot="1" x14ac:dyDescent="0.25">
      <c r="B2" s="122" t="s">
        <v>49</v>
      </c>
      <c r="E2" s="200" t="s">
        <v>50</v>
      </c>
      <c r="F2" s="200"/>
    </row>
    <row r="3" spans="2:6" x14ac:dyDescent="0.2">
      <c r="B3" s="130" t="s">
        <v>12</v>
      </c>
      <c r="E3" s="130" t="s">
        <v>51</v>
      </c>
      <c r="F3" s="124" t="s">
        <v>333</v>
      </c>
    </row>
    <row r="4" spans="2:6" x14ac:dyDescent="0.2">
      <c r="B4" s="130" t="s">
        <v>52</v>
      </c>
      <c r="E4" s="124"/>
    </row>
    <row r="5" spans="2:6" x14ac:dyDescent="0.2">
      <c r="B5" s="130" t="s">
        <v>53</v>
      </c>
    </row>
    <row r="6" spans="2:6" x14ac:dyDescent="0.2">
      <c r="B6" s="130" t="s">
        <v>54</v>
      </c>
    </row>
    <row r="7" spans="2:6" ht="13.5" thickBot="1" x14ac:dyDescent="0.25">
      <c r="B7" s="130" t="s">
        <v>55</v>
      </c>
      <c r="E7" s="200" t="s">
        <v>56</v>
      </c>
      <c r="F7" s="200"/>
    </row>
    <row r="8" spans="2:6" x14ac:dyDescent="0.2">
      <c r="B8" s="130" t="s">
        <v>57</v>
      </c>
      <c r="E8" s="130" t="s">
        <v>54</v>
      </c>
      <c r="F8" t="s">
        <v>320</v>
      </c>
    </row>
    <row r="9" spans="2:6" x14ac:dyDescent="0.2">
      <c r="B9" s="130" t="s">
        <v>58</v>
      </c>
      <c r="E9" s="130" t="s">
        <v>55</v>
      </c>
      <c r="F9" t="s">
        <v>321</v>
      </c>
    </row>
    <row r="10" spans="2:6" x14ac:dyDescent="0.2">
      <c r="B10" s="130" t="s">
        <v>59</v>
      </c>
      <c r="E10" s="130" t="s">
        <v>57</v>
      </c>
      <c r="F10" s="124" t="s">
        <v>322</v>
      </c>
    </row>
    <row r="11" spans="2:6" x14ac:dyDescent="0.2">
      <c r="B11" s="130" t="s">
        <v>60</v>
      </c>
      <c r="E11" s="130" t="s">
        <v>58</v>
      </c>
      <c r="F11" s="124" t="s">
        <v>323</v>
      </c>
    </row>
    <row r="12" spans="2:6" x14ac:dyDescent="0.2">
      <c r="B12" s="130" t="s">
        <v>61</v>
      </c>
      <c r="E12" s="130" t="s">
        <v>59</v>
      </c>
      <c r="F12" s="124" t="s">
        <v>323</v>
      </c>
    </row>
    <row r="13" spans="2:6" x14ac:dyDescent="0.2">
      <c r="B13" s="130" t="s">
        <v>62</v>
      </c>
      <c r="E13" s="130" t="s">
        <v>60</v>
      </c>
      <c r="F13" t="s">
        <v>324</v>
      </c>
    </row>
    <row r="14" spans="2:6" x14ac:dyDescent="0.2">
      <c r="B14" s="130" t="s">
        <v>63</v>
      </c>
      <c r="E14" s="130" t="s">
        <v>64</v>
      </c>
      <c r="F14" t="s">
        <v>325</v>
      </c>
    </row>
    <row r="15" spans="2:6" x14ac:dyDescent="0.2">
      <c r="B15" s="130" t="s">
        <v>65</v>
      </c>
      <c r="E15" s="130" t="s">
        <v>66</v>
      </c>
      <c r="F15" s="124" t="s">
        <v>326</v>
      </c>
    </row>
    <row r="16" spans="2:6" x14ac:dyDescent="0.2">
      <c r="B16" s="130" t="s">
        <v>67</v>
      </c>
      <c r="E16" s="130" t="s">
        <v>68</v>
      </c>
      <c r="F16" t="s">
        <v>327</v>
      </c>
    </row>
    <row r="17" spans="2:11" x14ac:dyDescent="0.2">
      <c r="B17" s="130" t="s">
        <v>69</v>
      </c>
      <c r="E17" s="130" t="s">
        <v>70</v>
      </c>
      <c r="F17" s="124" t="s">
        <v>328</v>
      </c>
    </row>
    <row r="18" spans="2:11" x14ac:dyDescent="0.2">
      <c r="B18" s="130" t="s">
        <v>71</v>
      </c>
      <c r="E18" s="130" t="s">
        <v>72</v>
      </c>
      <c r="F18" s="124" t="s">
        <v>329</v>
      </c>
    </row>
    <row r="19" spans="2:11" x14ac:dyDescent="0.2">
      <c r="E19" s="130" t="s">
        <v>73</v>
      </c>
      <c r="F19" s="124" t="s">
        <v>330</v>
      </c>
    </row>
    <row r="20" spans="2:11" x14ac:dyDescent="0.2">
      <c r="E20" s="130" t="s">
        <v>74</v>
      </c>
      <c r="F20" s="124" t="s">
        <v>331</v>
      </c>
    </row>
    <row r="21" spans="2:11" x14ac:dyDescent="0.2">
      <c r="E21" s="130" t="s">
        <v>75</v>
      </c>
      <c r="F21" s="124" t="s">
        <v>332</v>
      </c>
    </row>
    <row r="25" spans="2:11" x14ac:dyDescent="0.2">
      <c r="E25" s="130" t="s">
        <v>76</v>
      </c>
    </row>
    <row r="26" spans="2:11" x14ac:dyDescent="0.2">
      <c r="E26" s="130" t="s">
        <v>77</v>
      </c>
    </row>
    <row r="29" spans="2:11" ht="13.5" thickBot="1" x14ac:dyDescent="0.25">
      <c r="C29" s="200" t="s">
        <v>78</v>
      </c>
      <c r="D29" s="200"/>
      <c r="E29" s="200"/>
      <c r="F29" s="200"/>
      <c r="G29" s="200"/>
      <c r="H29" s="200"/>
      <c r="I29" s="200"/>
      <c r="J29" s="200"/>
      <c r="K29" s="200"/>
    </row>
    <row r="30" spans="2:11" ht="13.5" thickBot="1" x14ac:dyDescent="0.25">
      <c r="E30" s="201" t="s">
        <v>79</v>
      </c>
      <c r="F30" s="202"/>
      <c r="G30" s="203"/>
      <c r="H30" s="201" t="s">
        <v>80</v>
      </c>
      <c r="I30" s="202"/>
      <c r="J30" s="203"/>
    </row>
    <row r="31" spans="2:11" x14ac:dyDescent="0.2">
      <c r="C31" s="140" t="s">
        <v>81</v>
      </c>
      <c r="D31" s="140" t="s">
        <v>82</v>
      </c>
      <c r="E31" s="141" t="s">
        <v>83</v>
      </c>
      <c r="F31" s="140" t="s">
        <v>84</v>
      </c>
      <c r="G31" s="142" t="s">
        <v>85</v>
      </c>
      <c r="H31" s="140" t="s">
        <v>83</v>
      </c>
      <c r="I31" s="140" t="s">
        <v>84</v>
      </c>
      <c r="J31" s="142" t="s">
        <v>85</v>
      </c>
      <c r="K31" s="140" t="s">
        <v>86</v>
      </c>
    </row>
    <row r="32" spans="2:11" x14ac:dyDescent="0.2">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
        <v>335</v>
      </c>
    </row>
    <row r="63" spans="3:11" x14ac:dyDescent="0.2">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tr">
        <f>E26</f>
        <v>You are using the correct bill calculator. Please enter your billing information below.</v>
      </c>
    </row>
    <row r="64" spans="3:11" x14ac:dyDescent="0.2">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
        <v>296</v>
      </c>
    </row>
    <row r="65" spans="3:11" x14ac:dyDescent="0.2">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
        <v>296</v>
      </c>
    </row>
    <row r="66" spans="3:11" x14ac:dyDescent="0.2">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
        <v>296</v>
      </c>
    </row>
    <row r="67" spans="3:11" x14ac:dyDescent="0.2">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
      <c r="C68">
        <f>IF('AES Indiana Bill Calc.'!$D$12&lt;'AES Indiana Bill Calc.'!$D$11,"X",)</f>
        <v>0</v>
      </c>
      <c r="D68" s="130" t="s">
        <v>97</v>
      </c>
      <c r="K68" s="130" t="s">
        <v>98</v>
      </c>
    </row>
    <row r="69" spans="3:11" x14ac:dyDescent="0.2">
      <c r="C69">
        <f>IF(AND('AES Indiana Bill Calc.'!$D$12-'AES Indiana Bill Calc.'!$D$11&lt;27,'AES Indiana Bill Calc.'!$D$11&lt;&gt;"", 'AES Indiana Bill Calc.'!$D$12&lt;&gt;"",'AES Indiana Bill Calc.'!$D$12-'AES Indiana Bill Calc.'!$D$11&gt;=0),"X",)</f>
        <v>0</v>
      </c>
      <c r="D69" s="130" t="s">
        <v>99</v>
      </c>
      <c r="G69">
        <v>27</v>
      </c>
      <c r="K69" s="130" t="s">
        <v>100</v>
      </c>
    </row>
    <row r="70" spans="3:11" x14ac:dyDescent="0.2">
      <c r="C70">
        <f>IF(AND('AES Indiana Bill Calc.'!$D$12-'AES Indiana Bill Calc.'!$D$11&gt;34,'AES Indiana Bill Calc.'!$D$11&lt;&gt;"", 'AES Indiana Bill Calc.'!$D$12&lt;&gt;""),"X",)</f>
        <v>0</v>
      </c>
      <c r="D70" s="130" t="s">
        <v>101</v>
      </c>
      <c r="G70">
        <v>35</v>
      </c>
      <c r="K70" s="130" t="s">
        <v>102</v>
      </c>
    </row>
    <row r="71" spans="3:11" x14ac:dyDescent="0.2">
      <c r="C71" t="str">
        <f>IF(OR('AES Indiana Bill Calc.'!D11="",'AES Indiana Bill Calc.'!D12=""),"X",)</f>
        <v>X</v>
      </c>
      <c r="D71" s="130" t="s">
        <v>103</v>
      </c>
    </row>
    <row r="72" spans="3:11" x14ac:dyDescent="0.2">
      <c r="C72">
        <f>IF(OR(C32="X",C33="X",C34="X",C35="X",C36="X",C37="X",C38="X",C39="X",C40="X",C41="X",C42="X",C43="X",C44="X",C45="X",C46="X",C47="X",C48="X",C49="X",C50="X",C51="X",C52="X",C53="X",C54="X",C55="X",C69="X",C70="X",C68="X",C71="X"),0,"X")</f>
        <v>0</v>
      </c>
      <c r="D72" s="130" t="s">
        <v>104</v>
      </c>
      <c r="K72" s="130" t="s">
        <v>105</v>
      </c>
    </row>
    <row r="75" spans="3:11" x14ac:dyDescent="0.2">
      <c r="D75" s="199" t="e">
        <f>IF(AND(G73&gt;=Inputs!$E$40,G74&gt;=Inputs!I102,G74&lt;=Inputs!I103,G73&lt;=Inputs!K102,'AES Indiana Bill Calc.'!#REF!&lt;=Inputs!L102,G74-G73&lt;=34,G74-G73&gt;=26),Inputs!H88,)</f>
        <v>#REF!</v>
      </c>
      <c r="E75" s="199"/>
      <c r="F75" s="199"/>
      <c r="G75" s="199"/>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zoomScaleNormal="100" workbookViewId="0">
      <selection activeCell="I65" sqref="I65"/>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05" t="s">
        <v>334</v>
      </c>
      <c r="C2" s="206"/>
      <c r="D2" s="206"/>
      <c r="E2" s="207"/>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
      <c r="A3" s="1"/>
      <c r="B3" s="7"/>
      <c r="C3" s="40"/>
      <c r="D3" s="40"/>
      <c r="F3" s="44"/>
      <c r="L3" t="s">
        <v>111</v>
      </c>
      <c r="M3" s="168">
        <v>3.0000000000000001E-3</v>
      </c>
      <c r="N3" s="119"/>
      <c r="O3" s="119"/>
      <c r="P3" s="119"/>
      <c r="Q3" s="119"/>
      <c r="R3" s="119">
        <v>-3.4320000000000002E-3</v>
      </c>
      <c r="S3" s="174">
        <v>1.8929999999999999E-3</v>
      </c>
      <c r="T3" s="119">
        <v>3.5249999999999999E-3</v>
      </c>
      <c r="U3" s="120">
        <v>0</v>
      </c>
      <c r="V3" s="119">
        <v>3.375E-3</v>
      </c>
      <c r="W3" s="119">
        <v>-1.379E-3</v>
      </c>
      <c r="X3" s="119">
        <v>5.5400000000000002E-4</v>
      </c>
      <c r="Y3" s="119">
        <v>-4.7699999999999999E-4</v>
      </c>
      <c r="Z3" s="19">
        <f>SUM(S3:Y3)</f>
        <v>7.4910000000000011E-3</v>
      </c>
      <c r="AA3" s="19"/>
    </row>
    <row r="4" spans="1:27" x14ac:dyDescent="0.2">
      <c r="B4" s="1"/>
      <c r="C4" s="40"/>
      <c r="D4" s="40"/>
      <c r="F4" s="44"/>
      <c r="L4" t="s">
        <v>112</v>
      </c>
      <c r="M4" s="19">
        <f>+M3</f>
        <v>3.0000000000000001E-3</v>
      </c>
      <c r="N4" s="19"/>
      <c r="O4" s="19"/>
      <c r="P4" s="19"/>
      <c r="Q4" s="19"/>
      <c r="R4" s="19">
        <f>R3</f>
        <v>-3.4320000000000002E-3</v>
      </c>
      <c r="S4" s="174">
        <v>1.523E-3</v>
      </c>
      <c r="T4" s="119">
        <v>6.6499999999999997E-3</v>
      </c>
      <c r="U4" s="120">
        <v>0</v>
      </c>
      <c r="V4" s="119">
        <v>3.2620000000000001E-3</v>
      </c>
      <c r="W4" s="119">
        <v>-1.3760000000000001E-3</v>
      </c>
      <c r="X4" s="119">
        <v>4.8899999999999996E-4</v>
      </c>
      <c r="Y4" s="119">
        <v>-4.5600000000000003E-4</v>
      </c>
      <c r="Z4" s="19">
        <f>SUM(S4:Y4)</f>
        <v>1.0092E-2</v>
      </c>
      <c r="AA4" s="19"/>
    </row>
    <row r="5" spans="1:27" x14ac:dyDescent="0.2">
      <c r="A5" s="44"/>
      <c r="B5" s="1"/>
      <c r="C5" s="40"/>
      <c r="D5" s="40"/>
      <c r="F5" s="44"/>
      <c r="K5" t="s">
        <v>113</v>
      </c>
      <c r="L5" t="s">
        <v>114</v>
      </c>
      <c r="M5" s="19">
        <f>+M4</f>
        <v>3.0000000000000001E-3</v>
      </c>
      <c r="N5" s="19"/>
      <c r="O5" s="19"/>
      <c r="P5" s="19"/>
      <c r="Q5" s="19"/>
      <c r="R5" s="19">
        <f>+R4</f>
        <v>-3.4320000000000002E-3</v>
      </c>
      <c r="S5" s="119">
        <v>6.1300000000000005E-4</v>
      </c>
      <c r="T5" s="119">
        <v>5.5240000000000003E-3</v>
      </c>
      <c r="U5" s="120">
        <v>0</v>
      </c>
      <c r="V5" s="102">
        <v>2.9169999999999999E-3</v>
      </c>
      <c r="W5" s="102">
        <v>-9.9299999999999996E-4</v>
      </c>
      <c r="X5" s="102">
        <v>2.5500000000000002E-4</v>
      </c>
      <c r="Y5" s="102">
        <v>-4.08E-4</v>
      </c>
      <c r="Z5" s="19">
        <f>SUM(S5:Y5)</f>
        <v>7.9079999999999984E-3</v>
      </c>
      <c r="AA5" s="19"/>
    </row>
    <row r="6" spans="1:27" x14ac:dyDescent="0.2">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
      <c r="A7" s="44"/>
      <c r="B7" s="1"/>
      <c r="C7" s="40"/>
      <c r="D7" s="40"/>
      <c r="F7" s="44"/>
      <c r="J7" s="130"/>
      <c r="M7" s="19"/>
      <c r="N7" s="19"/>
      <c r="O7" s="19"/>
      <c r="P7" s="19"/>
      <c r="Q7" s="19"/>
      <c r="R7" s="19"/>
      <c r="S7" s="119"/>
      <c r="T7" s="119"/>
      <c r="U7" s="120"/>
      <c r="V7" s="102"/>
      <c r="W7" s="102"/>
      <c r="X7" s="102"/>
      <c r="Y7" s="69"/>
      <c r="Z7" s="19"/>
      <c r="AA7" s="19"/>
    </row>
    <row r="8" spans="1:27" x14ac:dyDescent="0.2">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3.4419999999999997E-3</v>
      </c>
      <c r="AA11" s="19"/>
    </row>
    <row r="12" spans="1:27" x14ac:dyDescent="0.2">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2.3840000000000003E-3</v>
      </c>
      <c r="AA12" s="19"/>
    </row>
    <row r="13" spans="1:27" x14ac:dyDescent="0.2">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3.4419999999999997E-3</v>
      </c>
      <c r="AA13" s="19"/>
    </row>
    <row r="14" spans="1:27" x14ac:dyDescent="0.2">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2.3840000000000003E-3</v>
      </c>
      <c r="AA14" s="19"/>
    </row>
    <row r="15" spans="1:27" x14ac:dyDescent="0.2">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
      <c r="A30" s="44"/>
      <c r="F30" s="65"/>
      <c r="L30" t="s">
        <v>133</v>
      </c>
      <c r="M30" s="19">
        <f>M3</f>
        <v>3.0000000000000001E-3</v>
      </c>
      <c r="N30" s="19"/>
      <c r="O30" s="19"/>
      <c r="P30" s="19"/>
      <c r="Q30" s="19"/>
      <c r="R30" s="19"/>
      <c r="S30" s="101">
        <v>1.305E-3</v>
      </c>
      <c r="T30" s="169"/>
      <c r="U30" s="120">
        <v>0</v>
      </c>
      <c r="V30" s="102">
        <v>2.5569999999999998E-3</v>
      </c>
      <c r="W30" s="102">
        <v>-1.771E-3</v>
      </c>
      <c r="X30" s="102">
        <v>6.2500000000000001E-4</v>
      </c>
      <c r="Y30" s="102">
        <v>-3.4600000000000001E-4</v>
      </c>
      <c r="Z30" s="19">
        <f>SUM(S30:Y30)</f>
        <v>2.3700000000000001E-3</v>
      </c>
      <c r="AA30" s="19"/>
    </row>
    <row r="31" spans="1:27" x14ac:dyDescent="0.2">
      <c r="A31" s="44"/>
      <c r="C31" s="3"/>
      <c r="F31" s="65"/>
      <c r="L31" t="s">
        <v>134</v>
      </c>
      <c r="M31" s="19"/>
      <c r="N31" s="19"/>
      <c r="O31" s="19"/>
      <c r="P31" s="19"/>
      <c r="Q31" s="19"/>
      <c r="R31" s="19"/>
      <c r="S31" s="101">
        <v>1.305E-3</v>
      </c>
      <c r="T31" s="169"/>
      <c r="U31" s="120"/>
      <c r="V31" s="102">
        <v>2.5569999999999998E-3</v>
      </c>
      <c r="W31" s="102">
        <v>-1.771E-3</v>
      </c>
      <c r="X31" s="102">
        <v>6.2500000000000001E-4</v>
      </c>
      <c r="Y31" s="102">
        <v>-3.4600000000000001E-4</v>
      </c>
      <c r="Z31" s="19"/>
      <c r="AA31" s="19"/>
    </row>
    <row r="32" spans="1:27" x14ac:dyDescent="0.2">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
      <c r="A33" s="44"/>
      <c r="C33" s="7"/>
      <c r="G33" s="130"/>
      <c r="K33" s="130" t="s">
        <v>116</v>
      </c>
      <c r="L33" s="130" t="s">
        <v>127</v>
      </c>
      <c r="T33" s="93">
        <v>0</v>
      </c>
    </row>
    <row r="34" spans="1:29" x14ac:dyDescent="0.2">
      <c r="A34" s="44"/>
      <c r="C34" s="7"/>
      <c r="K34" s="130" t="s">
        <v>120</v>
      </c>
      <c r="L34" s="130"/>
      <c r="T34" s="93">
        <v>0</v>
      </c>
    </row>
    <row r="35" spans="1:29" x14ac:dyDescent="0.2">
      <c r="A35" s="44"/>
      <c r="C35" s="7"/>
      <c r="K35" s="130" t="s">
        <v>122</v>
      </c>
      <c r="L35" s="130"/>
      <c r="T35" s="93">
        <v>0</v>
      </c>
    </row>
    <row r="36" spans="1:29" x14ac:dyDescent="0.2">
      <c r="A36" s="44"/>
      <c r="C36" s="7"/>
      <c r="K36" s="130" t="s">
        <v>124</v>
      </c>
      <c r="L36" s="130"/>
      <c r="T36" s="93">
        <v>0</v>
      </c>
    </row>
    <row r="37" spans="1:29" x14ac:dyDescent="0.2">
      <c r="A37" s="44"/>
      <c r="C37" s="7"/>
      <c r="K37" s="130" t="s">
        <v>128</v>
      </c>
      <c r="L37" s="130"/>
      <c r="T37" s="93">
        <v>0</v>
      </c>
    </row>
    <row r="38" spans="1:29" x14ac:dyDescent="0.2">
      <c r="A38" s="44"/>
      <c r="C38" s="7"/>
      <c r="K38" s="130" t="s">
        <v>116</v>
      </c>
      <c r="L38" s="130"/>
      <c r="T38" s="93">
        <v>0</v>
      </c>
    </row>
    <row r="39" spans="1:29" x14ac:dyDescent="0.2">
      <c r="A39" s="44"/>
      <c r="C39" s="7"/>
      <c r="K39" s="130" t="s">
        <v>136</v>
      </c>
      <c r="L39" s="130"/>
      <c r="T39" s="93">
        <v>2.892E-3</v>
      </c>
    </row>
    <row r="40" spans="1:29" x14ac:dyDescent="0.2">
      <c r="B40" s="1"/>
      <c r="C40" s="7"/>
      <c r="F40" s="72">
        <v>12.5</v>
      </c>
      <c r="G40" s="72"/>
      <c r="H40" s="72"/>
      <c r="I40" s="72"/>
      <c r="J40" s="161">
        <v>17</v>
      </c>
      <c r="K40" s="162">
        <v>0.125421</v>
      </c>
      <c r="L40" s="162">
        <v>0.11382200000000001</v>
      </c>
      <c r="S40" s="27">
        <f>+M$3</f>
        <v>3.0000000000000001E-3</v>
      </c>
      <c r="T40" s="27">
        <f t="shared" ref="T40:Z40" si="0">+R$3</f>
        <v>-3.4320000000000002E-3</v>
      </c>
      <c r="U40" s="27">
        <f t="shared" si="0"/>
        <v>1.8929999999999999E-3</v>
      </c>
      <c r="V40" s="27">
        <f t="shared" si="0"/>
        <v>3.5249999999999999E-3</v>
      </c>
      <c r="W40" s="27">
        <f t="shared" si="0"/>
        <v>0</v>
      </c>
      <c r="X40" s="27">
        <f t="shared" si="0"/>
        <v>3.375E-3</v>
      </c>
      <c r="Y40" s="27">
        <f t="shared" si="0"/>
        <v>-1.379E-3</v>
      </c>
      <c r="Z40" s="27">
        <f t="shared" si="0"/>
        <v>5.5400000000000002E-4</v>
      </c>
      <c r="AA40" s="27">
        <f>Y3</f>
        <v>-4.7699999999999999E-4</v>
      </c>
      <c r="AB40" s="19">
        <f>SUM(U40:Z40)</f>
        <v>7.9680000000000011E-3</v>
      </c>
    </row>
    <row r="41" spans="1:29" x14ac:dyDescent="0.2">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
      <c r="C42" s="11"/>
      <c r="D42" s="12"/>
      <c r="F42" s="12"/>
      <c r="J42" s="12" t="s">
        <v>137</v>
      </c>
      <c r="K42" s="204" t="s">
        <v>28</v>
      </c>
      <c r="L42" s="204"/>
      <c r="M42" s="12"/>
      <c r="N42" s="143" t="s">
        <v>138</v>
      </c>
      <c r="O42" s="12"/>
      <c r="P42" s="12"/>
      <c r="Q42" s="12"/>
      <c r="R42" s="12"/>
      <c r="S42" s="12">
        <v>21</v>
      </c>
      <c r="T42" s="12">
        <v>6</v>
      </c>
      <c r="U42" s="12">
        <v>3</v>
      </c>
      <c r="V42" s="12">
        <v>22</v>
      </c>
      <c r="W42" s="12">
        <v>13</v>
      </c>
      <c r="X42" s="12">
        <v>20</v>
      </c>
      <c r="Y42" s="12">
        <v>24</v>
      </c>
      <c r="Z42" s="12">
        <v>25</v>
      </c>
      <c r="AA42" s="12">
        <v>26</v>
      </c>
    </row>
    <row r="43" spans="1:29" x14ac:dyDescent="0.2">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x14ac:dyDescent="0.2">
      <c r="B45" s="103">
        <f>IF(AND('AES Indiana Bill Calc.'!$D$17="RS",'AES Indiana Bill Calc.'!$D$18="No"),'AES Indiana Bill Calc.'!$D$19,-1)</f>
        <v>-1</v>
      </c>
      <c r="C45" s="91" t="s">
        <v>147</v>
      </c>
      <c r="F45" s="36" t="s">
        <v>12</v>
      </c>
      <c r="G45" s="17">
        <f>SUM(J45:M45,O45:P45,R45:AA45)</f>
        <v>12.37</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v>
      </c>
      <c r="U45" s="17">
        <f t="shared" si="1"/>
        <v>0</v>
      </c>
      <c r="V45" s="17">
        <f t="shared" si="1"/>
        <v>0</v>
      </c>
      <c r="W45" s="17">
        <f t="shared" si="1"/>
        <v>0</v>
      </c>
      <c r="X45" s="17">
        <f t="shared" si="1"/>
        <v>0</v>
      </c>
      <c r="Y45" s="17">
        <f t="shared" si="1"/>
        <v>0</v>
      </c>
      <c r="Z45" s="17">
        <f t="shared" si="1"/>
        <v>0</v>
      </c>
      <c r="AA45" s="17">
        <f t="shared" si="1"/>
        <v>0</v>
      </c>
      <c r="AB45" s="19">
        <f>SUM(U40:AA40)+S40*S44</f>
        <v>7.4910000000000011E-3</v>
      </c>
      <c r="AC45" s="67" t="str">
        <f>+F45</f>
        <v>RS</v>
      </c>
    </row>
    <row r="46" spans="1:29" x14ac:dyDescent="0.2">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x14ac:dyDescent="0.2">
      <c r="A47" s="147"/>
      <c r="B47" s="103">
        <f>IF(AND('AES Indiana Bill Calc.'!$D$17="RS",'AES Indiana Bill Calc.'!$D$18="Yes 100%"),'AES Indiana Bill Calc.'!$D$19,-1)</f>
        <v>-1</v>
      </c>
      <c r="C47" s="1" t="s">
        <v>148</v>
      </c>
      <c r="F47" s="36" t="s">
        <v>12</v>
      </c>
      <c r="G47" s="17">
        <f>SUM(J47:M47,O47:P47,R47:AA47)</f>
        <v>12.37</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v>
      </c>
      <c r="U47" s="17">
        <f t="shared" si="2"/>
        <v>0</v>
      </c>
      <c r="V47" s="17">
        <f t="shared" si="2"/>
        <v>0</v>
      </c>
      <c r="W47" s="17">
        <f t="shared" si="2"/>
        <v>0</v>
      </c>
      <c r="X47" s="17">
        <f t="shared" si="2"/>
        <v>0</v>
      </c>
      <c r="Y47" s="17">
        <f t="shared" si="2"/>
        <v>0</v>
      </c>
      <c r="Z47" s="17">
        <f t="shared" si="2"/>
        <v>0</v>
      </c>
      <c r="AA47" s="17">
        <f t="shared" si="2"/>
        <v>0</v>
      </c>
      <c r="AB47" s="19">
        <f>SUM(U40:AA40)+S40*S46</f>
        <v>1.0491E-2</v>
      </c>
      <c r="AC47" s="67" t="str">
        <f>+F47</f>
        <v>RS</v>
      </c>
    </row>
    <row r="48" spans="1:29" x14ac:dyDescent="0.2">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x14ac:dyDescent="0.2">
      <c r="A49" s="147"/>
      <c r="B49" s="103">
        <f>IF(AND('AES Indiana Bill Calc.'!$D$17="RS",'AES Indiana Bill Calc.'!$D$18="Yes 50%"),'AES Indiana Bill Calc.'!$D$19,-1)</f>
        <v>-1</v>
      </c>
      <c r="C49" s="1" t="s">
        <v>149</v>
      </c>
      <c r="F49" s="36" t="s">
        <v>12</v>
      </c>
      <c r="G49" s="17">
        <f>SUM(J49:M49,O49:P49,R49:AA49)</f>
        <v>12.37</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x14ac:dyDescent="0.2">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x14ac:dyDescent="0.2">
      <c r="A51" s="147"/>
      <c r="B51" s="103">
        <f>IF(AND('AES Indiana Bill Calc.'!$D$17="RS",'AES Indiana Bill Calc.'!$D$18="Yes 25%"),'AES Indiana Bill Calc.'!$D$19,-1)</f>
        <v>-1</v>
      </c>
      <c r="C51" s="1" t="s">
        <v>150</v>
      </c>
      <c r="F51" s="36" t="s">
        <v>12</v>
      </c>
      <c r="G51" s="17">
        <f>SUM(J51:M51,O51:P51,R51:AA51)</f>
        <v>12.37</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5" thickBot="1" x14ac:dyDescent="0.25">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
      <c r="B55" s="103"/>
      <c r="C55" s="7"/>
      <c r="H55" s="19"/>
      <c r="I55" s="19"/>
      <c r="J55" s="16"/>
      <c r="K55" s="16"/>
      <c r="L55" s="16"/>
      <c r="M55" s="17"/>
      <c r="N55" s="17"/>
      <c r="O55" s="17"/>
      <c r="P55" s="17"/>
      <c r="Q55" s="17"/>
      <c r="R55" s="7"/>
      <c r="S55" s="6"/>
      <c r="T55" s="6"/>
      <c r="U55" s="6"/>
      <c r="V55" s="6"/>
      <c r="W55" s="6"/>
      <c r="X55" s="6"/>
      <c r="Y55" s="6"/>
      <c r="Z55" s="6"/>
      <c r="AA55" s="6"/>
    </row>
    <row r="56" spans="1:29" x14ac:dyDescent="0.2">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3.0000000000000001E-3</v>
      </c>
      <c r="T56" s="27">
        <f t="shared" ref="T56:AA56" si="6">+R$3</f>
        <v>-3.4320000000000002E-3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-4.7699999999999999E-4</v>
      </c>
      <c r="AB56" s="19">
        <f>SUM(U56:Z56)</f>
        <v>7.9680000000000011E-3</v>
      </c>
    </row>
    <row r="57" spans="1:29" x14ac:dyDescent="0.2">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
      <c r="B58" s="103">
        <v>-1</v>
      </c>
      <c r="C58" s="11"/>
      <c r="D58" s="12"/>
      <c r="F58" s="12"/>
      <c r="J58" s="12" t="s">
        <v>137</v>
      </c>
      <c r="K58" s="204" t="s">
        <v>28</v>
      </c>
      <c r="L58" s="204"/>
      <c r="M58" s="204"/>
      <c r="N58" s="12"/>
      <c r="O58" s="12"/>
      <c r="P58" s="12"/>
      <c r="Q58" s="12"/>
      <c r="R58" s="12"/>
      <c r="S58" s="12">
        <v>21</v>
      </c>
      <c r="T58" s="12">
        <v>6</v>
      </c>
      <c r="U58" s="12">
        <v>3</v>
      </c>
      <c r="V58" s="12">
        <v>22</v>
      </c>
      <c r="W58" s="12">
        <v>13</v>
      </c>
      <c r="X58" s="12">
        <v>20</v>
      </c>
      <c r="Y58" s="12">
        <v>24</v>
      </c>
      <c r="Z58" s="12">
        <v>25</v>
      </c>
      <c r="AA58" s="12">
        <v>26</v>
      </c>
    </row>
    <row r="59" spans="1:29" x14ac:dyDescent="0.2">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x14ac:dyDescent="0.2">
      <c r="B61" s="103">
        <f>IF(AND('AES Indiana Bill Calc.'!$D$17="RC",'AES Indiana Bill Calc.'!$D$18="Yes 25%"),'AES Indiana Bill Calc.'!$D$19,-1)</f>
        <v>-1</v>
      </c>
      <c r="C61" s="78" t="s">
        <v>150</v>
      </c>
      <c r="F61" s="36" t="s">
        <v>52</v>
      </c>
      <c r="G61" s="17">
        <f>SUM(J61:M61,O61:P61,R61:AA61)</f>
        <v>12.37</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v>
      </c>
      <c r="U61" s="17">
        <f t="shared" ref="U61:AA67" si="7">ROUND($B61*U$56,2)</f>
        <v>0</v>
      </c>
      <c r="V61" s="17">
        <f t="shared" si="7"/>
        <v>0</v>
      </c>
      <c r="W61" s="17">
        <f t="shared" si="7"/>
        <v>0</v>
      </c>
      <c r="X61" s="17">
        <f t="shared" si="7"/>
        <v>0</v>
      </c>
      <c r="Y61" s="17">
        <f t="shared" si="7"/>
        <v>0</v>
      </c>
      <c r="Z61" s="17">
        <f t="shared" si="7"/>
        <v>0</v>
      </c>
      <c r="AA61" s="17">
        <f t="shared" si="7"/>
        <v>0</v>
      </c>
      <c r="AB61" s="19">
        <f>SUM(U56:AA56)</f>
        <v>7.4910000000000011E-3</v>
      </c>
      <c r="AC61" s="67" t="str">
        <f>+F61</f>
        <v>RC</v>
      </c>
    </row>
    <row r="62" spans="1:29" x14ac:dyDescent="0.2">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x14ac:dyDescent="0.2">
      <c r="B63" s="103">
        <f>IF(AND('AES Indiana Bill Calc.'!$D$17="RC",'AES Indiana Bill Calc.'!$D$18="Yes 50%"),'AES Indiana Bill Calc.'!$D$19,-1)</f>
        <v>-1</v>
      </c>
      <c r="C63" s="1" t="s">
        <v>153</v>
      </c>
      <c r="F63" s="36" t="s">
        <v>52</v>
      </c>
      <c r="G63" s="17">
        <f>SUM(J63:M63,O63:P63,R63:AA63)</f>
        <v>12.37</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v>
      </c>
      <c r="U63" s="17">
        <f t="shared" si="7"/>
        <v>0</v>
      </c>
      <c r="V63" s="17">
        <f t="shared" si="7"/>
        <v>0</v>
      </c>
      <c r="W63" s="17">
        <f t="shared" si="7"/>
        <v>0</v>
      </c>
      <c r="X63" s="17">
        <f t="shared" si="7"/>
        <v>0</v>
      </c>
      <c r="Y63" s="17">
        <f t="shared" si="7"/>
        <v>0</v>
      </c>
      <c r="Z63" s="17">
        <f t="shared" si="7"/>
        <v>0</v>
      </c>
      <c r="AA63" s="17">
        <f t="shared" si="7"/>
        <v>0</v>
      </c>
      <c r="AB63" s="19">
        <f>SUM(U56:AA56)+S56*S62</f>
        <v>8.9910000000000007E-3</v>
      </c>
      <c r="AC63" s="67" t="str">
        <f>+F63</f>
        <v>RC</v>
      </c>
    </row>
    <row r="64" spans="1:29" x14ac:dyDescent="0.2">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x14ac:dyDescent="0.2">
      <c r="B65" s="103">
        <f>IF(AND('AES Indiana Bill Calc.'!$D$17="RC",'AES Indiana Bill Calc.'!$D$18="No"),'AES Indiana Bill Calc.'!$D$19,-1)</f>
        <v>-1</v>
      </c>
      <c r="C65" s="1" t="s">
        <v>147</v>
      </c>
      <c r="F65" s="36" t="s">
        <v>52</v>
      </c>
      <c r="G65" s="17">
        <f>SUM(J65:M65,O65:P65,R65:AA65)</f>
        <v>12.37</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x14ac:dyDescent="0.2">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x14ac:dyDescent="0.2">
      <c r="B67" s="103">
        <f>IF(AND('AES Indiana Bill Calc.'!$D$17="RC",'AES Indiana Bill Calc.'!$D$18="Yes 100%"),'AES Indiana Bill Calc.'!$D$19,-1)</f>
        <v>-1</v>
      </c>
      <c r="C67" s="1" t="s">
        <v>148</v>
      </c>
      <c r="F67" s="36" t="s">
        <v>52</v>
      </c>
      <c r="G67" s="17">
        <f>SUM(J67:M67,O67:P67,R67:AA67)</f>
        <v>12.37</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
      <c r="B69" s="103">
        <v>-1</v>
      </c>
      <c r="C69" s="4"/>
      <c r="H69" s="19"/>
      <c r="I69" s="19"/>
      <c r="J69" s="8"/>
      <c r="K69" s="16"/>
      <c r="L69" s="16"/>
      <c r="M69" s="17"/>
      <c r="N69" s="17"/>
      <c r="O69" s="17"/>
      <c r="P69" s="17"/>
      <c r="Q69" s="17"/>
      <c r="R69" s="17"/>
      <c r="S69" s="6"/>
      <c r="T69" s="6"/>
      <c r="U69" s="6"/>
      <c r="V69" s="6"/>
      <c r="W69" s="6"/>
      <c r="X69" s="6"/>
      <c r="Y69" s="6"/>
      <c r="Z69" s="6"/>
      <c r="AA69" s="6"/>
    </row>
    <row r="70" spans="1:29" x14ac:dyDescent="0.2">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3.0000000000000001E-3</v>
      </c>
      <c r="T70" s="27">
        <f t="shared" ref="T70:AA70" si="8">+R$3</f>
        <v>-3.4320000000000002E-3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-4.7699999999999999E-4</v>
      </c>
      <c r="AB70" s="19">
        <f>SUM(U70:Z70)</f>
        <v>7.9680000000000011E-3</v>
      </c>
    </row>
    <row r="71" spans="1:29" x14ac:dyDescent="0.2">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x14ac:dyDescent="0.2">
      <c r="B72" s="103">
        <v>-1</v>
      </c>
      <c r="C72" s="29"/>
      <c r="F72" s="12"/>
      <c r="J72" s="12" t="s">
        <v>137</v>
      </c>
      <c r="K72" s="204" t="s">
        <v>28</v>
      </c>
      <c r="L72" s="204"/>
      <c r="M72" s="204"/>
      <c r="N72" s="12"/>
      <c r="O72" s="12"/>
      <c r="P72" s="12"/>
      <c r="Q72" s="12"/>
      <c r="R72" s="12"/>
      <c r="S72" s="12">
        <v>21</v>
      </c>
      <c r="T72" s="12">
        <v>6</v>
      </c>
      <c r="U72" s="12">
        <v>3</v>
      </c>
      <c r="V72" s="12">
        <v>22</v>
      </c>
      <c r="W72" s="12">
        <v>13</v>
      </c>
      <c r="X72" s="12">
        <v>20</v>
      </c>
      <c r="Y72" s="12">
        <v>24</v>
      </c>
      <c r="Z72" s="12">
        <v>25</v>
      </c>
      <c r="AA72" s="12">
        <v>26</v>
      </c>
    </row>
    <row r="73" spans="1:29" x14ac:dyDescent="0.2">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x14ac:dyDescent="0.2">
      <c r="B75" s="103">
        <f>IF(AND('AES Indiana Bill Calc.'!$D$17="RH",'AES Indiana Bill Calc.'!$D$18="No"),'AES Indiana Bill Calc.'!$D$19,-1)</f>
        <v>-1</v>
      </c>
      <c r="C75" s="1" t="s">
        <v>147</v>
      </c>
      <c r="F75" s="36" t="s">
        <v>53</v>
      </c>
      <c r="G75" s="17">
        <f>SUM(J75:M75,O75:P75,R75:AA75)</f>
        <v>12.37</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v>
      </c>
      <c r="U75" s="17">
        <f t="shared" si="9"/>
        <v>0</v>
      </c>
      <c r="V75" s="17">
        <f t="shared" si="9"/>
        <v>0</v>
      </c>
      <c r="W75" s="17">
        <f t="shared" si="9"/>
        <v>0</v>
      </c>
      <c r="X75" s="17">
        <f t="shared" si="9"/>
        <v>0</v>
      </c>
      <c r="Y75" s="17">
        <f t="shared" si="9"/>
        <v>0</v>
      </c>
      <c r="Z75" s="17">
        <f t="shared" si="9"/>
        <v>0</v>
      </c>
      <c r="AA75" s="17">
        <f t="shared" si="9"/>
        <v>0</v>
      </c>
      <c r="AB75" s="19">
        <f>SUM(U70:AA70)</f>
        <v>7.4910000000000011E-3</v>
      </c>
      <c r="AC75" s="67" t="str">
        <f>+F75</f>
        <v>RH</v>
      </c>
    </row>
    <row r="76" spans="1:29" x14ac:dyDescent="0.2">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x14ac:dyDescent="0.2">
      <c r="B77" s="103">
        <f>IF(AND('AES Indiana Bill Calc.'!$D$17="RH",'AES Indiana Bill Calc.'!$D$18="Yes 100%"),'AES Indiana Bill Calc.'!$D$19,-1)</f>
        <v>-1</v>
      </c>
      <c r="C77" s="1" t="s">
        <v>148</v>
      </c>
      <c r="F77" s="36" t="s">
        <v>53</v>
      </c>
      <c r="G77" s="17">
        <f>SUM(J77:M77,O77:P77,R77:AA77)</f>
        <v>12.37</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1.0491E-2</v>
      </c>
      <c r="AC77" s="67" t="str">
        <f>+F77</f>
        <v>RH</v>
      </c>
    </row>
    <row r="78" spans="1:29" x14ac:dyDescent="0.2">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x14ac:dyDescent="0.2">
      <c r="B79" s="103">
        <f>IF(AND('AES Indiana Bill Calc.'!$D$17="RH",'AES Indiana Bill Calc.'!$D$18="Yes 50%"),'AES Indiana Bill Calc.'!$D$19,-1)</f>
        <v>-1</v>
      </c>
      <c r="C79" s="1" t="s">
        <v>149</v>
      </c>
      <c r="F79" s="36" t="s">
        <v>53</v>
      </c>
      <c r="G79" s="17">
        <f>SUM(J79:M79,O79:P79,R79:AA79)</f>
        <v>12.37</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x14ac:dyDescent="0.2">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x14ac:dyDescent="0.2">
      <c r="B81" s="103">
        <f>IF(AND('AES Indiana Bill Calc.'!$D$17="RH",'AES Indiana Bill Calc.'!$D$18="Yes 25%"),'AES Indiana Bill Calc.'!$D$19,-1)</f>
        <v>-1</v>
      </c>
      <c r="C81" s="1" t="s">
        <v>150</v>
      </c>
      <c r="F81" s="36" t="s">
        <v>53</v>
      </c>
      <c r="G81" s="17">
        <f>SUM(J81:M81,O81:P81,R81:AA81)</f>
        <v>12.37</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2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
      <c r="B84" s="103">
        <v>-1</v>
      </c>
      <c r="V84" s="27">
        <f>+T9</f>
        <v>0</v>
      </c>
      <c r="W84" s="6" t="s">
        <v>154</v>
      </c>
      <c r="AB84" s="19" t="e">
        <f>+AB$93-V$93+#REF!</f>
        <v>#REF!</v>
      </c>
    </row>
    <row r="85" spans="1:29" x14ac:dyDescent="0.2">
      <c r="B85" s="103">
        <v>-1</v>
      </c>
      <c r="S85" s="6"/>
      <c r="T85" s="6"/>
      <c r="U85" s="6"/>
      <c r="V85" s="27">
        <f>+T11</f>
        <v>0</v>
      </c>
      <c r="W85" s="6" t="s">
        <v>155</v>
      </c>
      <c r="X85" s="6"/>
      <c r="Y85" s="6"/>
      <c r="Z85" s="6"/>
      <c r="AA85" s="6"/>
      <c r="AB85" s="19">
        <f>+AB$93-V$93+V84</f>
        <v>3.8980000000000004E-3</v>
      </c>
    </row>
    <row r="86" spans="1:29" x14ac:dyDescent="0.2">
      <c r="B86" s="103">
        <v>-1</v>
      </c>
      <c r="S86" s="6"/>
      <c r="T86" s="6"/>
      <c r="U86" s="6"/>
      <c r="V86" s="27">
        <f>T15</f>
        <v>1.37E-4</v>
      </c>
      <c r="W86" s="6" t="s">
        <v>156</v>
      </c>
      <c r="X86" s="6"/>
      <c r="Y86" s="6"/>
      <c r="Z86" s="6"/>
      <c r="AA86" s="6"/>
      <c r="AB86" s="19">
        <f>+AB$93-V$93+V85</f>
        <v>3.8980000000000004E-3</v>
      </c>
    </row>
    <row r="87" spans="1:29" x14ac:dyDescent="0.2">
      <c r="B87" s="103">
        <v>-1</v>
      </c>
      <c r="S87" s="6"/>
      <c r="T87" s="6"/>
      <c r="U87" s="6"/>
      <c r="V87" s="27">
        <f>$T$18</f>
        <v>-9.0000000000000002E-6</v>
      </c>
      <c r="W87" s="6" t="s">
        <v>157</v>
      </c>
      <c r="X87" s="6"/>
      <c r="Y87" s="6"/>
      <c r="Z87" s="6"/>
      <c r="AA87" s="6"/>
      <c r="AB87" s="19"/>
    </row>
    <row r="88" spans="1:29" x14ac:dyDescent="0.2">
      <c r="B88" s="103">
        <v>-1</v>
      </c>
      <c r="S88" s="6"/>
      <c r="T88" s="6"/>
      <c r="U88" s="6"/>
      <c r="V88" s="27">
        <f>$T$20</f>
        <v>-2.5500000000000002E-4</v>
      </c>
      <c r="W88" s="6" t="s">
        <v>158</v>
      </c>
      <c r="X88" s="6"/>
      <c r="Y88" s="6"/>
      <c r="Z88" s="6"/>
      <c r="AA88" s="6"/>
      <c r="AB88" s="19"/>
    </row>
    <row r="89" spans="1:29" x14ac:dyDescent="0.2">
      <c r="B89" s="103">
        <v>-1</v>
      </c>
      <c r="S89" s="6"/>
      <c r="T89" s="6"/>
      <c r="U89" s="6"/>
      <c r="V89" s="27">
        <f>$T$22</f>
        <v>-2.941E-3</v>
      </c>
      <c r="W89" s="6" t="s">
        <v>159</v>
      </c>
      <c r="X89" s="6"/>
      <c r="Y89" s="6"/>
      <c r="Z89" s="6"/>
      <c r="AA89" s="6"/>
      <c r="AB89" s="19"/>
    </row>
    <row r="90" spans="1:29" x14ac:dyDescent="0.2">
      <c r="B90" s="103">
        <v>-1</v>
      </c>
      <c r="S90" s="6"/>
      <c r="T90" s="6"/>
      <c r="U90" s="6"/>
      <c r="V90" s="121">
        <f>T24</f>
        <v>0</v>
      </c>
      <c r="W90" s="6" t="s">
        <v>160</v>
      </c>
      <c r="X90" s="6"/>
      <c r="Y90" s="6"/>
      <c r="Z90" s="6"/>
      <c r="AA90" s="6"/>
      <c r="AB90" s="19"/>
    </row>
    <row r="91" spans="1:29" x14ac:dyDescent="0.2">
      <c r="B91" s="103">
        <v>-1</v>
      </c>
      <c r="S91" s="6"/>
      <c r="T91" s="6"/>
      <c r="U91" s="6"/>
      <c r="V91" s="19">
        <f>T26</f>
        <v>0</v>
      </c>
      <c r="W91" s="6" t="s">
        <v>161</v>
      </c>
      <c r="X91" s="6"/>
      <c r="Y91" s="6"/>
      <c r="Z91" s="6"/>
      <c r="AA91" s="6"/>
      <c r="AB91" s="19"/>
    </row>
    <row r="92" spans="1:29" x14ac:dyDescent="0.2">
      <c r="B92" s="103"/>
      <c r="S92" s="6"/>
      <c r="T92" s="6"/>
      <c r="U92" s="6"/>
      <c r="V92" s="19">
        <f>T28</f>
        <v>1.15E-3</v>
      </c>
      <c r="W92" s="6" t="s">
        <v>301</v>
      </c>
      <c r="X92" s="6"/>
      <c r="Y92" s="6"/>
      <c r="Z92" s="6"/>
      <c r="AA92" s="6"/>
      <c r="AB92" s="19"/>
    </row>
    <row r="93" spans="1:29" x14ac:dyDescent="0.2">
      <c r="B93" s="103">
        <v>-1</v>
      </c>
      <c r="C93" s="4"/>
      <c r="F93" s="160">
        <v>40</v>
      </c>
      <c r="G93" s="70"/>
      <c r="H93" s="70"/>
      <c r="I93" s="70"/>
      <c r="J93" s="161">
        <v>55</v>
      </c>
      <c r="K93" s="162">
        <v>0.12295200000000001</v>
      </c>
      <c r="L93" s="162">
        <v>0.108472</v>
      </c>
      <c r="M93" s="5"/>
      <c r="N93" s="5"/>
      <c r="O93" s="5"/>
      <c r="P93" s="5"/>
      <c r="Q93" s="5"/>
      <c r="R93" s="5"/>
      <c r="S93" s="27">
        <f>+M$4</f>
        <v>3.0000000000000001E-3</v>
      </c>
      <c r="T93" s="27">
        <f t="shared" ref="T93:AA93" si="11">+R$4</f>
        <v>-3.4320000000000002E-3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-4.5600000000000003E-4</v>
      </c>
      <c r="AB93" s="19">
        <f>SUM(U93:Z93)</f>
        <v>1.0548E-2</v>
      </c>
    </row>
    <row r="94" spans="1:29" x14ac:dyDescent="0.2">
      <c r="A94" s="1"/>
      <c r="B94" s="103">
        <v>-1</v>
      </c>
      <c r="F94" s="72"/>
      <c r="G94" s="70"/>
      <c r="H94" s="70"/>
      <c r="I94" s="70"/>
      <c r="J94" s="73">
        <v>5000</v>
      </c>
      <c r="K94" s="73">
        <v>5000</v>
      </c>
      <c r="L94" s="70"/>
    </row>
    <row r="95" spans="1:29" x14ac:dyDescent="0.2">
      <c r="B95" s="103">
        <v>-1</v>
      </c>
      <c r="F95" s="12"/>
      <c r="J95" s="12" t="s">
        <v>137</v>
      </c>
      <c r="K95" s="204" t="s">
        <v>28</v>
      </c>
      <c r="L95" s="204"/>
      <c r="M95" s="12"/>
      <c r="N95" s="12"/>
      <c r="O95" s="12"/>
      <c r="P95" s="12"/>
      <c r="Q95" s="12"/>
      <c r="R95" s="12"/>
      <c r="S95" s="12">
        <v>21</v>
      </c>
      <c r="T95" s="12">
        <v>6</v>
      </c>
      <c r="U95" s="12">
        <v>3</v>
      </c>
      <c r="V95" s="12">
        <v>22</v>
      </c>
      <c r="W95" s="12">
        <v>13</v>
      </c>
      <c r="X95" s="12">
        <v>20</v>
      </c>
      <c r="Y95" s="12">
        <v>24</v>
      </c>
      <c r="Z95" s="12">
        <v>25</v>
      </c>
      <c r="AA95" s="12">
        <v>26</v>
      </c>
    </row>
    <row r="96" spans="1:29" x14ac:dyDescent="0.2">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x14ac:dyDescent="0.2">
      <c r="B98" s="103">
        <f>IF(AND('AES Indiana Bill Calc.'!$D$17="SS",'AES Indiana Bill Calc.'!$D$18="No",'AES Indiana Bill Calc.'!$D$20="No"),'AES Indiana Bill Calc.'!$D$19,-1)</f>
        <v>-1</v>
      </c>
      <c r="C98" s="1" t="s">
        <v>147</v>
      </c>
      <c r="F98" s="36" t="s">
        <v>54</v>
      </c>
      <c r="G98" s="17">
        <f>SUM(J98:M98,O98:P98,R98:AA98)</f>
        <v>39.870000000000005</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v>
      </c>
      <c r="U98" s="116">
        <f t="shared" si="12"/>
        <v>0</v>
      </c>
      <c r="V98" s="17">
        <f>ROUND($B98*V$93,2)</f>
        <v>-0.01</v>
      </c>
      <c r="W98" s="17">
        <f t="shared" si="12"/>
        <v>0</v>
      </c>
      <c r="X98" s="17">
        <f t="shared" si="12"/>
        <v>0</v>
      </c>
      <c r="Y98" s="17">
        <f t="shared" si="12"/>
        <v>0</v>
      </c>
      <c r="Z98" s="17">
        <f t="shared" si="12"/>
        <v>0</v>
      </c>
      <c r="AA98" s="17">
        <f t="shared" si="12"/>
        <v>0</v>
      </c>
      <c r="AB98" s="19">
        <f>SUM(U93:AA93)</f>
        <v>1.0092E-2</v>
      </c>
      <c r="AC98" s="67" t="str">
        <f>+F98</f>
        <v>SS</v>
      </c>
    </row>
    <row r="99" spans="1:29" x14ac:dyDescent="0.2">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x14ac:dyDescent="0.2">
      <c r="A100" s="89"/>
      <c r="B100" s="103">
        <f>IF(AND('AES Indiana Bill Calc.'!$D$17="SS",'AES Indiana Bill Calc.'!$D$18="Yes 100%",'AES Indiana Bill Calc.'!$D$20="No"),'AES Indiana Bill Calc.'!$D$19,-1)</f>
        <v>-1</v>
      </c>
      <c r="C100" s="1" t="s">
        <v>148</v>
      </c>
      <c r="F100" s="36" t="s">
        <v>54</v>
      </c>
      <c r="G100" s="17">
        <f>SUM(J100:M100,O100:P100,R100:AA100)</f>
        <v>39.870000000000005</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v>
      </c>
      <c r="U100" s="17">
        <f t="shared" si="13"/>
        <v>0</v>
      </c>
      <c r="V100" s="17">
        <f>ROUND($B100*V$93,2)</f>
        <v>-0.01</v>
      </c>
      <c r="W100" s="17">
        <f t="shared" si="13"/>
        <v>0</v>
      </c>
      <c r="X100" s="17">
        <f t="shared" si="13"/>
        <v>0</v>
      </c>
      <c r="Y100" s="17">
        <f t="shared" si="13"/>
        <v>0</v>
      </c>
      <c r="Z100" s="17">
        <f t="shared" si="13"/>
        <v>0</v>
      </c>
      <c r="AA100" s="17">
        <f t="shared" si="13"/>
        <v>0</v>
      </c>
      <c r="AB100" s="19">
        <f>SUM(U$93:AA$93)</f>
        <v>1.0092E-2</v>
      </c>
      <c r="AC100" s="67" t="str">
        <f>+F100</f>
        <v>SS</v>
      </c>
    </row>
    <row r="101" spans="1:29" x14ac:dyDescent="0.2">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x14ac:dyDescent="0.2">
      <c r="A102" s="89"/>
      <c r="B102" s="103">
        <f>IF(AND('AES Indiana Bill Calc.'!$D$17="SS",'AES Indiana Bill Calc.'!$D$18="Yes 50%",'AES Indiana Bill Calc.'!$D$20="No"),'AES Indiana Bill Calc.'!$D$19,-1)</f>
        <v>-1</v>
      </c>
      <c r="C102" s="1" t="s">
        <v>149</v>
      </c>
      <c r="F102" s="36" t="s">
        <v>54</v>
      </c>
      <c r="G102" s="17">
        <f>SUM(J102:M102,O102:P102,R102:AA102)</f>
        <v>39.870000000000005</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v>
      </c>
      <c r="U102" s="17">
        <f t="shared" si="14"/>
        <v>0</v>
      </c>
      <c r="V102" s="17">
        <f>ROUND($B102*V$93,2)</f>
        <v>-0.01</v>
      </c>
      <c r="W102" s="17">
        <f t="shared" si="14"/>
        <v>0</v>
      </c>
      <c r="X102" s="17">
        <f t="shared" si="14"/>
        <v>0</v>
      </c>
      <c r="Y102" s="17">
        <f t="shared" si="14"/>
        <v>0</v>
      </c>
      <c r="Z102" s="17">
        <f t="shared" si="14"/>
        <v>0</v>
      </c>
      <c r="AA102" s="17">
        <f t="shared" si="14"/>
        <v>0</v>
      </c>
      <c r="AB102" s="19">
        <f>SUM(U$93:AA$93)</f>
        <v>1.0092E-2</v>
      </c>
      <c r="AC102" s="67" t="str">
        <f>+F102</f>
        <v>SS</v>
      </c>
    </row>
    <row r="103" spans="1:29" x14ac:dyDescent="0.2">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x14ac:dyDescent="0.2">
      <c r="A104" s="89"/>
      <c r="B104" s="103">
        <f>IF(AND('AES Indiana Bill Calc.'!$D$17="SS",'AES Indiana Bill Calc.'!$D$18="Yes 25%",'AES Indiana Bill Calc.'!$D$20="No"),'AES Indiana Bill Calc.'!$D$19,-1)</f>
        <v>-1</v>
      </c>
      <c r="C104" s="1" t="s">
        <v>150</v>
      </c>
      <c r="F104" s="36" t="s">
        <v>54</v>
      </c>
      <c r="G104" s="17">
        <f>SUM(J104:M104,O104:P104,R104:AA104)</f>
        <v>39.870000000000005</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v>
      </c>
      <c r="U104" s="17">
        <f t="shared" si="15"/>
        <v>0</v>
      </c>
      <c r="V104" s="17">
        <f>ROUND($B104*V$93,2)</f>
        <v>-0.01</v>
      </c>
      <c r="W104" s="17">
        <f t="shared" si="15"/>
        <v>0</v>
      </c>
      <c r="X104" s="17">
        <f t="shared" si="15"/>
        <v>0</v>
      </c>
      <c r="Y104" s="17">
        <f t="shared" si="15"/>
        <v>0</v>
      </c>
      <c r="Z104" s="17">
        <f t="shared" si="15"/>
        <v>0</v>
      </c>
      <c r="AA104" s="17">
        <f t="shared" si="15"/>
        <v>0</v>
      </c>
      <c r="AB104" s="19">
        <f>SUM(U$93:AA$93)</f>
        <v>1.0092E-2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x14ac:dyDescent="0.2">
      <c r="A106" s="89"/>
      <c r="B106" s="103">
        <f>IF(AND('AES Indiana Bill Calc.'!$D$17="SS",'AES Indiana Bill Calc.'!$D$18="Yes 10%",'AES Indiana Bill Calc.'!$D$20="No"),'AES Indiana Bill Calc.'!$D$19,-1)</f>
        <v>-1</v>
      </c>
      <c r="C106" s="1" t="s">
        <v>164</v>
      </c>
      <c r="F106" s="36" t="s">
        <v>54</v>
      </c>
      <c r="G106" s="17">
        <f>SUM(J106:M106,O106:P106,R106:AA106)</f>
        <v>39.870000000000005</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v>
      </c>
      <c r="U106" s="17">
        <f t="shared" si="15"/>
        <v>0</v>
      </c>
      <c r="V106" s="17">
        <f>ROUND($B106*V$93,2)</f>
        <v>-0.01</v>
      </c>
      <c r="W106" s="17">
        <f t="shared" si="15"/>
        <v>0</v>
      </c>
      <c r="X106" s="17">
        <f t="shared" si="15"/>
        <v>0</v>
      </c>
      <c r="Y106" s="17">
        <f t="shared" si="15"/>
        <v>0</v>
      </c>
      <c r="Z106" s="17">
        <f t="shared" si="15"/>
        <v>0</v>
      </c>
      <c r="AA106" s="17">
        <f t="shared" si="15"/>
        <v>0</v>
      </c>
      <c r="AB106" s="19">
        <f>SUM(U$93:AA$93)</f>
        <v>1.0092E-2</v>
      </c>
      <c r="AC106" s="67" t="str">
        <f>+F106</f>
        <v>SS</v>
      </c>
    </row>
    <row r="107" spans="1:29" x14ac:dyDescent="0.2">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x14ac:dyDescent="0.2">
      <c r="A108" s="96"/>
      <c r="B108" s="103">
        <f>IF(AND('AES Indiana Bill Calc.'!$D$17="SS",'AES Indiana Bill Calc.'!$D$18="Yes 100%",'AES Indiana Bill Calc.'!$D$20="Yes Before 2018"),'AES Indiana Bill Calc.'!$D$19,-1)</f>
        <v>-1</v>
      </c>
      <c r="C108" s="1" t="s">
        <v>148</v>
      </c>
      <c r="F108" s="36" t="s">
        <v>165</v>
      </c>
      <c r="G108" s="17">
        <f>SUM(J108:M108,O108:P108,R108:AA108)</f>
        <v>39.880000000000003</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v>
      </c>
      <c r="U108" s="42">
        <f>ROUND($B108*U$93,2)</f>
        <v>0</v>
      </c>
      <c r="V108" s="41">
        <f>ROUND($B108*V85,2)</f>
        <v>0</v>
      </c>
      <c r="W108" s="42">
        <f>ROUND($B108*W$93,2)</f>
        <v>0</v>
      </c>
      <c r="X108" s="42">
        <f>ROUND($B108*X$93,2)</f>
        <v>0</v>
      </c>
      <c r="Y108" s="42">
        <f>ROUND($B108*Y$93,2)</f>
        <v>0</v>
      </c>
      <c r="Z108" s="42">
        <f>ROUND($B108*Z$93,2)</f>
        <v>0</v>
      </c>
      <c r="AA108" s="42">
        <f>ROUND($B108*AA$93,2)</f>
        <v>0</v>
      </c>
      <c r="AB108" s="19">
        <f>SUM(U$93:AA$93)+(-V$93+V77)</f>
        <v>3.4420000000000006E-3</v>
      </c>
      <c r="AC108" s="94" t="str">
        <f>+F108</f>
        <v>SS7</v>
      </c>
    </row>
    <row r="109" spans="1:29" x14ac:dyDescent="0.2">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x14ac:dyDescent="0.2">
      <c r="A110" s="96"/>
      <c r="B110" s="103">
        <f>IF(AND('AES Indiana Bill Calc.'!$D$17="SS",'AES Indiana Bill Calc.'!$D$18="Yes 50%",'AES Indiana Bill Calc.'!$D$20="Yes Before 2018"),'AES Indiana Bill Calc.'!$D$19,-1)</f>
        <v>-1</v>
      </c>
      <c r="C110" s="1" t="s">
        <v>149</v>
      </c>
      <c r="F110" s="36" t="s">
        <v>165</v>
      </c>
      <c r="G110" s="17">
        <f>SUM(J110:M110,O110:P110,R110:AA110)</f>
        <v>39.880000000000003</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v>
      </c>
      <c r="U110" s="42">
        <f>ROUND($B110*U$93,2)</f>
        <v>0</v>
      </c>
      <c r="V110" s="41">
        <f>ROUND($B110*V85,2)</f>
        <v>0</v>
      </c>
      <c r="W110" s="42">
        <f>ROUND($B110*W$93,2)</f>
        <v>0</v>
      </c>
      <c r="X110" s="42">
        <f>ROUND($B110*X$93,2)</f>
        <v>0</v>
      </c>
      <c r="Y110" s="42">
        <f>ROUND($B110*Y$93,2)</f>
        <v>0</v>
      </c>
      <c r="Z110" s="42">
        <f>ROUND($B110*Z$93,2)</f>
        <v>0</v>
      </c>
      <c r="AA110" s="42">
        <f>ROUND($B110*AA$93,2)</f>
        <v>0</v>
      </c>
      <c r="AB110" s="19">
        <f>SUM(U$93:AA$93)+(-V$93+V79)</f>
        <v>3.4420000000000006E-3</v>
      </c>
      <c r="AC110" s="94" t="str">
        <f>+F110</f>
        <v>SS7</v>
      </c>
    </row>
    <row r="111" spans="1:29" x14ac:dyDescent="0.2">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x14ac:dyDescent="0.2">
      <c r="A112" s="96"/>
      <c r="B112" s="103">
        <f>IF(AND('AES Indiana Bill Calc.'!$D$17="SS",'AES Indiana Bill Calc.'!$D$18="Yes 25%",'AES Indiana Bill Calc.'!$D$20="Yes Before 2018"),'AES Indiana Bill Calc.'!$D$19,-1)</f>
        <v>-1</v>
      </c>
      <c r="C112" s="1" t="s">
        <v>150</v>
      </c>
      <c r="F112" s="36" t="s">
        <v>165</v>
      </c>
      <c r="G112" s="17">
        <f>SUM(J112:M112,O112:P112,R112:AA112)</f>
        <v>39.880000000000003</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v>
      </c>
      <c r="U112" s="42">
        <f>ROUND($B112*U$93,2)</f>
        <v>0</v>
      </c>
      <c r="V112" s="41">
        <f>ROUND($B112*V85,2)</f>
        <v>0</v>
      </c>
      <c r="W112" s="42">
        <f>ROUND($B112*W$93,2)</f>
        <v>0</v>
      </c>
      <c r="X112" s="42">
        <f>ROUND($B112*X$93,2)</f>
        <v>0</v>
      </c>
      <c r="Y112" s="42">
        <f>ROUND($B112*Y$93,2)</f>
        <v>0</v>
      </c>
      <c r="Z112" s="42">
        <f>ROUND($B112*Z$93,2)</f>
        <v>0</v>
      </c>
      <c r="AA112" s="42">
        <f>ROUND($B112*AA$93,2)</f>
        <v>0</v>
      </c>
      <c r="AB112" s="19">
        <f>SUM(U$93:AA$93)+(-V$93+V81)</f>
        <v>3.4420000000000006E-3</v>
      </c>
      <c r="AC112" s="94" t="str">
        <f>+F112</f>
        <v>SS7</v>
      </c>
    </row>
    <row r="113" spans="1:29" x14ac:dyDescent="0.2">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x14ac:dyDescent="0.2">
      <c r="A114" s="96"/>
      <c r="B114" s="103">
        <f>IF(AND('AES Indiana Bill Calc.'!$D$17="SS",'AES Indiana Bill Calc.'!$D$18="Yes 10%",'AES Indiana Bill Calc.'!$D$20="Yes Before 2018"),'AES Indiana Bill Calc.'!$D$19,-1)</f>
        <v>-1</v>
      </c>
      <c r="C114" s="1" t="s">
        <v>164</v>
      </c>
      <c r="F114" s="36" t="s">
        <v>165</v>
      </c>
      <c r="G114" s="17">
        <f>SUM(J114:M114,O114:P114,R114:AA114)</f>
        <v>39.880000000000003</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v>
      </c>
      <c r="U114" s="42">
        <f>ROUND($B114*U$93,2)</f>
        <v>0</v>
      </c>
      <c r="V114" s="41">
        <f>ROUND($B114*V85,2)</f>
        <v>0</v>
      </c>
      <c r="W114" s="42">
        <f>ROUND($B114*W$93,2)</f>
        <v>0</v>
      </c>
      <c r="X114" s="42">
        <f>ROUND($B114*X$93,2)</f>
        <v>0</v>
      </c>
      <c r="Y114" s="42">
        <f>ROUND($B114*Y$93,2)</f>
        <v>0</v>
      </c>
      <c r="Z114" s="42">
        <f>ROUND($B114*Z$93,2)</f>
        <v>0</v>
      </c>
      <c r="AA114" s="42">
        <f>ROUND($B114*AA$93,2)</f>
        <v>0</v>
      </c>
      <c r="AB114" s="19">
        <f>SUM(U$93:AA$93)+(-V$93+V83)</f>
        <v>3.4420000000000006E-3</v>
      </c>
      <c r="AC114" s="94" t="str">
        <f>+F114</f>
        <v>SS7</v>
      </c>
    </row>
    <row r="115" spans="1:29" x14ac:dyDescent="0.2">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x14ac:dyDescent="0.2">
      <c r="A116" s="96"/>
      <c r="B116" s="103">
        <f>IF(AND('AES Indiana Bill Calc.'!$D$17="SS",'AES Indiana Bill Calc.'!$D$18="No",'AES Indiana Bill Calc.'!$D$20="Yes Before 2018"),'AES Indiana Bill Calc.'!$D$19,-1)</f>
        <v>-1</v>
      </c>
      <c r="C116" s="1" t="s">
        <v>147</v>
      </c>
      <c r="F116" s="36" t="s">
        <v>165</v>
      </c>
      <c r="G116" s="17">
        <f>SUM(J116:M116,O116:P116,R116:AA116)</f>
        <v>39.880000000000003</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v>
      </c>
      <c r="U116" s="42">
        <f>ROUND($B116*U$93,2)</f>
        <v>0</v>
      </c>
      <c r="V116" s="41">
        <f>ROUND($B116*V85,2)</f>
        <v>0</v>
      </c>
      <c r="W116" s="42">
        <f>ROUND($B116*W$93,2)</f>
        <v>0</v>
      </c>
      <c r="X116" s="42">
        <f>ROUND($B116*X$93,2)</f>
        <v>0</v>
      </c>
      <c r="Y116" s="42">
        <f>ROUND($B116*Y$93,2)</f>
        <v>0</v>
      </c>
      <c r="Z116" s="42">
        <f>ROUND($B116*Z$93,2)</f>
        <v>0</v>
      </c>
      <c r="AA116" s="42">
        <f>ROUND($B116*AA$93,2)</f>
        <v>0</v>
      </c>
      <c r="AB116" s="19">
        <f>SUM(U$93:AA$93)+(-V$93+V84)</f>
        <v>3.4420000000000006E-3</v>
      </c>
      <c r="AC116" s="94" t="str">
        <f>+F116</f>
        <v>SS7</v>
      </c>
    </row>
    <row r="117" spans="1:29" x14ac:dyDescent="0.2">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x14ac:dyDescent="0.2">
      <c r="A118" s="96"/>
      <c r="B118" s="103">
        <f>IF(AND('AES Indiana Bill Calc.'!$D$17="SS",'AES Indiana Bill Calc.'!$D$18="Yes 100%",'AES Indiana Bill Calc.'!$D$20="Yes 2018"),'AES Indiana Bill Calc.'!$D$19,-1)</f>
        <v>-1</v>
      </c>
      <c r="C118" s="1" t="s">
        <v>148</v>
      </c>
      <c r="F118" s="36" t="s">
        <v>166</v>
      </c>
      <c r="G118" s="17">
        <f>SUM(J118:M118,O118:P118,R118:AA118)</f>
        <v>39.880000000000003</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x14ac:dyDescent="0.2">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x14ac:dyDescent="0.2">
      <c r="A120" s="96"/>
      <c r="B120" s="103">
        <f>IF(AND('AES Indiana Bill Calc.'!$D$17="SS",'AES Indiana Bill Calc.'!$D$18="Yes 50%",'AES Indiana Bill Calc.'!$D$20="Yes 2018"),'AES Indiana Bill Calc.'!$D$19,-1)</f>
        <v>-1</v>
      </c>
      <c r="C120" s="1" t="s">
        <v>149</v>
      </c>
      <c r="F120" s="36" t="s">
        <v>166</v>
      </c>
      <c r="G120" s="17">
        <f>SUM(J120:M120,O120:P120,R120:AA120)</f>
        <v>39.880000000000003</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v>
      </c>
      <c r="U120" s="42">
        <f>ROUND($B120*U$93,2)</f>
        <v>0</v>
      </c>
      <c r="V120" s="41">
        <f>ROUND($B120*V$86,2)</f>
        <v>0</v>
      </c>
      <c r="W120" s="42">
        <f>ROUND($B120*W$93,2)</f>
        <v>0</v>
      </c>
      <c r="X120" s="42">
        <f>ROUND($B120*X$93,2)</f>
        <v>0</v>
      </c>
      <c r="Y120" s="42">
        <f>ROUND($B120*Y$93,2)</f>
        <v>0</v>
      </c>
      <c r="Z120" s="42">
        <f>ROUND($B120*Z$93,2)</f>
        <v>0</v>
      </c>
      <c r="AA120" s="42">
        <f>ROUND($B120*AA$93,2)</f>
        <v>0</v>
      </c>
      <c r="AB120" s="19">
        <f>SUM(U$93:AA$93)+(-V$93+V87)</f>
        <v>3.4330000000000003E-3</v>
      </c>
      <c r="AC120" s="94" t="str">
        <f>+F120</f>
        <v>SS8</v>
      </c>
    </row>
    <row r="121" spans="1:29" x14ac:dyDescent="0.2">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x14ac:dyDescent="0.2">
      <c r="A122" s="96"/>
      <c r="B122" s="103">
        <f>IF(AND('AES Indiana Bill Calc.'!$D$17="SS",'AES Indiana Bill Calc.'!$D$18="Yes 25%",'AES Indiana Bill Calc.'!$D$20="Yes 2018"),'AES Indiana Bill Calc.'!$D$19,-1)</f>
        <v>-1</v>
      </c>
      <c r="C122" s="1" t="s">
        <v>150</v>
      </c>
      <c r="F122" s="36" t="s">
        <v>166</v>
      </c>
      <c r="G122" s="17">
        <f>SUM(J122:M122,O122:P122,R122:AA122)</f>
        <v>39.880000000000003</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v>
      </c>
      <c r="U122" s="42">
        <f>ROUND($B122*U$93,2)</f>
        <v>0</v>
      </c>
      <c r="V122" s="41">
        <f>ROUND($B122*V$86,2)</f>
        <v>0</v>
      </c>
      <c r="W122" s="42">
        <f>ROUND($B122*W$93,2)</f>
        <v>0</v>
      </c>
      <c r="X122" s="42">
        <f>ROUND($B122*X$93,2)</f>
        <v>0</v>
      </c>
      <c r="Y122" s="42">
        <f>ROUND($B122*Y$93,2)</f>
        <v>0</v>
      </c>
      <c r="Z122" s="42">
        <f>ROUND($B122*Z$93,2)</f>
        <v>0</v>
      </c>
      <c r="AA122" s="42">
        <f>ROUND($B122*AA$93,2)</f>
        <v>0</v>
      </c>
      <c r="AB122" s="19">
        <f>SUM(U$93:AA$93)+(-V$93+V89)</f>
        <v>5.0100000000000144E-4</v>
      </c>
      <c r="AC122" s="94" t="str">
        <f>+F122</f>
        <v>SS8</v>
      </c>
    </row>
    <row r="123" spans="1:29" x14ac:dyDescent="0.2">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x14ac:dyDescent="0.2">
      <c r="A124" s="96"/>
      <c r="B124" s="103">
        <f>IF(AND('AES Indiana Bill Calc.'!$D$17="SS",'AES Indiana Bill Calc.'!$D$18="Yes 10%",'AES Indiana Bill Calc.'!$D$20="Yes 2018"),'AES Indiana Bill Calc.'!$D$19,-1)</f>
        <v>-1</v>
      </c>
      <c r="C124" s="1" t="s">
        <v>164</v>
      </c>
      <c r="F124" s="36" t="s">
        <v>166</v>
      </c>
      <c r="G124" s="17">
        <f>SUM(J124:M124,O124:P124,R124:AA124)</f>
        <v>39.880000000000003</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v>
      </c>
      <c r="U124" s="42">
        <f>ROUND($B124*U$93,2)</f>
        <v>0</v>
      </c>
      <c r="V124" s="41">
        <f>ROUND($B124*V$86,2)</f>
        <v>0</v>
      </c>
      <c r="W124" s="42">
        <f>ROUND($B124*W$93,2)</f>
        <v>0</v>
      </c>
      <c r="X124" s="42">
        <f>ROUND($B124*X$93,2)</f>
        <v>0</v>
      </c>
      <c r="Y124" s="42">
        <f>ROUND($B124*Y$93,2)</f>
        <v>0</v>
      </c>
      <c r="Z124" s="42">
        <f>ROUND($B124*Z$93,2)</f>
        <v>0</v>
      </c>
      <c r="AA124" s="42">
        <f>ROUND($B124*AA$93,2)</f>
        <v>0</v>
      </c>
      <c r="AB124" s="19">
        <f>SUM(U$93:AA$93)+(-V$93+V90)</f>
        <v>3.4420000000000006E-3</v>
      </c>
      <c r="AC124" s="94" t="str">
        <f>+F124</f>
        <v>SS8</v>
      </c>
    </row>
    <row r="125" spans="1:29" x14ac:dyDescent="0.2">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x14ac:dyDescent="0.2">
      <c r="A126" s="96"/>
      <c r="B126" s="103">
        <f>IF(AND('AES Indiana Bill Calc.'!$D$17="SS",'AES Indiana Bill Calc.'!$D$18="No",'AES Indiana Bill Calc.'!$D$20="Yes 2018"),'AES Indiana Bill Calc.'!$D$19,-1)</f>
        <v>-1</v>
      </c>
      <c r="C126" s="1" t="s">
        <v>147</v>
      </c>
      <c r="F126" s="36" t="s">
        <v>166</v>
      </c>
      <c r="G126" s="17">
        <f>SUM(J126:M126,O126:P126,R126:AA126)</f>
        <v>39.880000000000003</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x14ac:dyDescent="0.2">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x14ac:dyDescent="0.2">
      <c r="A128" s="96"/>
      <c r="B128" s="103">
        <f>IF(AND('AES Indiana Bill Calc.'!$D$17="SS",'AES Indiana Bill Calc.'!$D$18="Yes 100%",'AES Indiana Bill Calc.'!$D$20="Yes 2019"),'AES Indiana Bill Calc.'!$D$19,-1)</f>
        <v>-1</v>
      </c>
      <c r="C128" s="1" t="s">
        <v>148</v>
      </c>
      <c r="F128" s="36" t="s">
        <v>167</v>
      </c>
      <c r="G128" s="17">
        <f>SUM(J128:M128,O128:P128,R128:AA128)</f>
        <v>39.880000000000003</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v>
      </c>
      <c r="U128" s="42">
        <f>ROUND($B128*U$93,2)</f>
        <v>0</v>
      </c>
      <c r="V128" s="41">
        <f>ROUND($B128*V$87,2)</f>
        <v>0</v>
      </c>
      <c r="W128" s="42">
        <f>ROUND($B128*W$93,2)</f>
        <v>0</v>
      </c>
      <c r="X128" s="42">
        <f>ROUND($B128*X$93,2)</f>
        <v>0</v>
      </c>
      <c r="Y128" s="42">
        <f>ROUND($B128*Y$93,2)</f>
        <v>0</v>
      </c>
      <c r="Z128" s="42">
        <f>ROUND($B128*Z$93,2)</f>
        <v>0</v>
      </c>
      <c r="AA128" s="42">
        <f>ROUND($B128*AA$93,2)</f>
        <v>0</v>
      </c>
      <c r="AB128" s="19">
        <f>SUM(U$93:AA$93)+(-V$93+V98)</f>
        <v>-6.5579999999999979E-3</v>
      </c>
      <c r="AC128" s="94" t="str">
        <f>+F128</f>
        <v>SS9</v>
      </c>
    </row>
    <row r="129" spans="1:29" x14ac:dyDescent="0.2">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x14ac:dyDescent="0.2">
      <c r="A130" s="96"/>
      <c r="B130" s="103">
        <f>IF(AND('AES Indiana Bill Calc.'!$D$17="SS",'AES Indiana Bill Calc.'!$D$18="Yes 50%",'AES Indiana Bill Calc.'!$D$20="Yes 2019"),'AES Indiana Bill Calc.'!$D$19,-1)</f>
        <v>-1</v>
      </c>
      <c r="C130" s="1" t="s">
        <v>149</v>
      </c>
      <c r="F130" s="36" t="s">
        <v>167</v>
      </c>
      <c r="G130" s="17">
        <f>SUM(J130:M130,O130:P130,R130:AA130)</f>
        <v>39.880000000000003</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v>
      </c>
      <c r="U130" s="42">
        <f>ROUND($B130*U$93,2)</f>
        <v>0</v>
      </c>
      <c r="V130" s="41">
        <f>ROUND($B130*V$87,2)</f>
        <v>0</v>
      </c>
      <c r="W130" s="42">
        <f>ROUND($B130*W$93,2)</f>
        <v>0</v>
      </c>
      <c r="X130" s="42">
        <f>ROUND($B130*X$93,2)</f>
        <v>0</v>
      </c>
      <c r="Y130" s="42">
        <f>ROUND($B130*Y$93,2)</f>
        <v>0</v>
      </c>
      <c r="Z130" s="42">
        <f>ROUND($B130*Z$93,2)</f>
        <v>0</v>
      </c>
      <c r="AA130" s="42">
        <f>ROUND($B130*AA$93,2)</f>
        <v>0</v>
      </c>
      <c r="AB130" s="19">
        <f>SUM(U$93:AA$93)+(-V$93+V100)</f>
        <v>-6.5579999999999979E-3</v>
      </c>
      <c r="AC130" s="94" t="str">
        <f>+F130</f>
        <v>SS9</v>
      </c>
    </row>
    <row r="131" spans="1:29" x14ac:dyDescent="0.2">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x14ac:dyDescent="0.2">
      <c r="A132" s="96"/>
      <c r="B132" s="103">
        <f>IF(AND('AES Indiana Bill Calc.'!$D$17="SS",'AES Indiana Bill Calc.'!$D$18="Yes 25%",'AES Indiana Bill Calc.'!$D$20="Yes 2019"),'AES Indiana Bill Calc.'!$D$19,-1)</f>
        <v>-1</v>
      </c>
      <c r="C132" s="1" t="s">
        <v>150</v>
      </c>
      <c r="F132" s="36" t="s">
        <v>167</v>
      </c>
      <c r="G132" s="17">
        <f>SUM(J132:M132,O132:P132,R132:AA132)</f>
        <v>39.880000000000003</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v>
      </c>
      <c r="U132" s="42">
        <f>ROUND($B132*U$93,2)</f>
        <v>0</v>
      </c>
      <c r="V132" s="41">
        <f>ROUND($B132*V$87,2)</f>
        <v>0</v>
      </c>
      <c r="W132" s="42">
        <f>ROUND($B132*W$93,2)</f>
        <v>0</v>
      </c>
      <c r="X132" s="42">
        <f>ROUND($B132*X$93,2)</f>
        <v>0</v>
      </c>
      <c r="Y132" s="42">
        <f>ROUND($B132*Y$93,2)</f>
        <v>0</v>
      </c>
      <c r="Z132" s="42">
        <f>ROUND($B132*Z$93,2)</f>
        <v>0</v>
      </c>
      <c r="AA132" s="42">
        <f>ROUND($B132*AA$93,2)</f>
        <v>0</v>
      </c>
      <c r="AB132" s="19">
        <f>SUM(U$93:AA$93)+(-V$93+V102)</f>
        <v>-6.5579999999999979E-3</v>
      </c>
      <c r="AC132" s="94" t="str">
        <f>+F132</f>
        <v>SS9</v>
      </c>
    </row>
    <row r="133" spans="1:29" x14ac:dyDescent="0.2">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x14ac:dyDescent="0.2">
      <c r="A134" s="96"/>
      <c r="B134" s="103">
        <f>IF(AND('AES Indiana Bill Calc.'!$D$17="SS",'AES Indiana Bill Calc.'!$D$18="Yes 10%",'AES Indiana Bill Calc.'!$D$20="Yes 2019"),'AES Indiana Bill Calc.'!$D$19,-1)</f>
        <v>-1</v>
      </c>
      <c r="C134" s="1" t="s">
        <v>164</v>
      </c>
      <c r="F134" s="36" t="s">
        <v>167</v>
      </c>
      <c r="G134" s="17">
        <f>SUM(J134:M134,O134:P134,R134:AA134)</f>
        <v>39.880000000000003</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v>
      </c>
      <c r="U134" s="42">
        <f>ROUND($B134*U$93,2)</f>
        <v>0</v>
      </c>
      <c r="V134" s="41">
        <f>ROUND($B134*V$87,2)</f>
        <v>0</v>
      </c>
      <c r="W134" s="42">
        <f>ROUND($B134*W$93,2)</f>
        <v>0</v>
      </c>
      <c r="X134" s="42">
        <f>ROUND($B134*X$93,2)</f>
        <v>0</v>
      </c>
      <c r="Y134" s="42">
        <f>ROUND($B134*Y$93,2)</f>
        <v>0</v>
      </c>
      <c r="Z134" s="42">
        <f>ROUND($B134*Z$93,2)</f>
        <v>0</v>
      </c>
      <c r="AA134" s="42">
        <f>ROUND($B134*AA$93,2)</f>
        <v>0</v>
      </c>
      <c r="AB134" s="19">
        <f>SUM(U$93:AA$93)+(-V$93+V104)</f>
        <v>-6.5579999999999979E-3</v>
      </c>
      <c r="AC134" s="94" t="str">
        <f>+F134</f>
        <v>SS9</v>
      </c>
    </row>
    <row r="135" spans="1:29" x14ac:dyDescent="0.2">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x14ac:dyDescent="0.2">
      <c r="B136" s="103">
        <f>IF(AND('AES Indiana Bill Calc.'!$D$17="SS",'AES Indiana Bill Calc.'!$D$18="No",'AES Indiana Bill Calc.'!$D$20="Yes 2019"),'AES Indiana Bill Calc.'!$D$19,-1)</f>
        <v>-1</v>
      </c>
      <c r="C136" s="1" t="s">
        <v>147</v>
      </c>
      <c r="F136" s="36" t="s">
        <v>167</v>
      </c>
      <c r="G136" s="17">
        <f>SUM(J136:M136,O136:P136,R136:AA136)</f>
        <v>39.880000000000003</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v>
      </c>
      <c r="U136" s="42">
        <f>ROUND($B136*U$93,2)</f>
        <v>0</v>
      </c>
      <c r="V136" s="41">
        <f>ROUND($B136*V$87,2)</f>
        <v>0</v>
      </c>
      <c r="W136" s="42">
        <f>ROUND($B136*W$93,2)</f>
        <v>0</v>
      </c>
      <c r="X136" s="42">
        <f>ROUND($B136*X$93,2)</f>
        <v>0</v>
      </c>
      <c r="Y136" s="42">
        <f>ROUND($B136*Y$93,2)</f>
        <v>0</v>
      </c>
      <c r="Z136" s="42">
        <f>ROUND($B136*Z$93,2)</f>
        <v>0</v>
      </c>
      <c r="AA136" s="42">
        <f>ROUND($B136*AA$93,2)</f>
        <v>0</v>
      </c>
      <c r="AB136" s="19">
        <f>SUM(U$93:AA$93)+(-V$93+V98)</f>
        <v>-6.5579999999999979E-3</v>
      </c>
      <c r="AC136" s="94" t="str">
        <f>+F136</f>
        <v>SS9</v>
      </c>
    </row>
    <row r="137" spans="1:29" x14ac:dyDescent="0.2">
      <c r="B137" s="103">
        <v>-1</v>
      </c>
      <c r="C137" s="9"/>
      <c r="F137" s="36"/>
      <c r="S137" s="50">
        <v>1</v>
      </c>
    </row>
    <row r="138" spans="1:29" x14ac:dyDescent="0.2">
      <c r="B138" s="103">
        <f>IF(AND('AES Indiana Bill Calc.'!$D$17="SS",'AES Indiana Bill Calc.'!$D$18="Yes 100%",'AES Indiana Bill Calc.'!$D$20="Yes 2020"),'AES Indiana Bill Calc.'!$D$19,-1)</f>
        <v>-1</v>
      </c>
      <c r="C138" s="1" t="s">
        <v>148</v>
      </c>
      <c r="F138" s="36" t="s">
        <v>168</v>
      </c>
      <c r="G138" s="17">
        <f>SUM(J138:M138,O138:P138,R138:AA138)</f>
        <v>39.880000000000003</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v>
      </c>
      <c r="U138" s="42">
        <f>ROUND($B138*U$93,2)</f>
        <v>0</v>
      </c>
      <c r="V138" s="41">
        <f>ROUND($B138*V$88,2)</f>
        <v>0</v>
      </c>
      <c r="W138" s="42">
        <f>ROUND($B138*W$93,2)</f>
        <v>0</v>
      </c>
      <c r="X138" s="42">
        <f>ROUND($B138*X$93,2)</f>
        <v>0</v>
      </c>
      <c r="Y138" s="42">
        <f>ROUND($B138*Y$93,2)</f>
        <v>0</v>
      </c>
      <c r="Z138" s="42">
        <f>ROUND($B138*Z$93,2)</f>
        <v>0</v>
      </c>
      <c r="AA138" s="42">
        <f>ROUND($B138*AA$93,2)</f>
        <v>0</v>
      </c>
      <c r="AB138" s="19">
        <f>SUM(U$93:AA$93)+(-V$93+V98)</f>
        <v>-6.5579999999999979E-3</v>
      </c>
      <c r="AC138" s="94" t="str">
        <f>+F138</f>
        <v>SS0</v>
      </c>
    </row>
    <row r="139" spans="1:29" x14ac:dyDescent="0.2">
      <c r="B139" s="103">
        <v>-1</v>
      </c>
      <c r="C139" s="9"/>
      <c r="F139" s="36"/>
      <c r="S139" s="50">
        <v>0.5</v>
      </c>
    </row>
    <row r="140" spans="1:29" x14ac:dyDescent="0.2">
      <c r="B140" s="103">
        <f>IF(AND('AES Indiana Bill Calc.'!$D$17="SS",'AES Indiana Bill Calc.'!$D$18="Yes 50%",'AES Indiana Bill Calc.'!$D$20="Yes 2020"),'AES Indiana Bill Calc.'!$D$19,-1)</f>
        <v>-1</v>
      </c>
      <c r="C140" s="1" t="s">
        <v>149</v>
      </c>
      <c r="F140" s="36" t="s">
        <v>168</v>
      </c>
      <c r="G140" s="17">
        <f>SUM(J140:M140,O140:P140,R140:AA140)</f>
        <v>39.880000000000003</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v>
      </c>
      <c r="U140" s="42">
        <f>ROUND($B140*U$93,2)</f>
        <v>0</v>
      </c>
      <c r="V140" s="41">
        <f>ROUND($B140*V$88,2)</f>
        <v>0</v>
      </c>
      <c r="W140" s="42">
        <f>ROUND($B140*W$93,2)</f>
        <v>0</v>
      </c>
      <c r="X140" s="42">
        <f>ROUND($B140*X$93,2)</f>
        <v>0</v>
      </c>
      <c r="Y140" s="42">
        <f>ROUND($B140*Y$93,2)</f>
        <v>0</v>
      </c>
      <c r="Z140" s="42">
        <f>ROUND($B140*Z$93,2)</f>
        <v>0</v>
      </c>
      <c r="AA140" s="42">
        <f>ROUND($B140*AA$93,2)</f>
        <v>0</v>
      </c>
      <c r="AB140" s="19">
        <f>SUM(U$93:AA$93)+(-V$93+V100)</f>
        <v>-6.5579999999999979E-3</v>
      </c>
      <c r="AC140" s="94" t="str">
        <f>+F140</f>
        <v>SS0</v>
      </c>
    </row>
    <row r="141" spans="1:29" x14ac:dyDescent="0.2">
      <c r="B141" s="103">
        <v>-1</v>
      </c>
      <c r="C141" s="9"/>
      <c r="F141" s="36"/>
      <c r="S141" s="50">
        <v>0.25</v>
      </c>
    </row>
    <row r="142" spans="1:29" x14ac:dyDescent="0.2">
      <c r="B142" s="103">
        <f>IF(AND('AES Indiana Bill Calc.'!$D$17="SS",'AES Indiana Bill Calc.'!$D$18="Yes 25%",'AES Indiana Bill Calc.'!$D$20="Yes 2020"),'AES Indiana Bill Calc.'!$D$19,-1)</f>
        <v>-1</v>
      </c>
      <c r="C142" s="1" t="s">
        <v>150</v>
      </c>
      <c r="F142" s="36" t="s">
        <v>168</v>
      </c>
      <c r="G142" s="17">
        <f>SUM(J142:M142,O142:P142,R142:AA142)</f>
        <v>39.880000000000003</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v>
      </c>
      <c r="U142" s="42">
        <f>ROUND($B142*U$93,2)</f>
        <v>0</v>
      </c>
      <c r="V142" s="41">
        <f>ROUND($B142*V$88,2)</f>
        <v>0</v>
      </c>
      <c r="W142" s="42">
        <f>ROUND($B142*W$93,2)</f>
        <v>0</v>
      </c>
      <c r="X142" s="42">
        <f>ROUND($B142*X$93,2)</f>
        <v>0</v>
      </c>
      <c r="Y142" s="42">
        <f>ROUND($B142*Y$93,2)</f>
        <v>0</v>
      </c>
      <c r="Z142" s="42">
        <f>ROUND($B142*Z$93,2)</f>
        <v>0</v>
      </c>
      <c r="AA142" s="42">
        <f>ROUND($B142*AA$93,2)</f>
        <v>0</v>
      </c>
      <c r="AB142" s="19">
        <f>SUM(U$93:AA$93)+(-V$93+V102)</f>
        <v>-6.5579999999999979E-3</v>
      </c>
      <c r="AC142" s="94" t="str">
        <f>+F142</f>
        <v>SS0</v>
      </c>
    </row>
    <row r="143" spans="1:29" x14ac:dyDescent="0.2">
      <c r="B143" s="103">
        <v>-1</v>
      </c>
      <c r="C143" s="9"/>
      <c r="F143" s="36"/>
      <c r="S143" s="50">
        <v>0.1</v>
      </c>
    </row>
    <row r="144" spans="1:29" x14ac:dyDescent="0.2">
      <c r="B144" s="103">
        <f>IF(AND('AES Indiana Bill Calc.'!$D$17="SS",'AES Indiana Bill Calc.'!$D$18="Yes 10%",'AES Indiana Bill Calc.'!$D$20="Yes 2020"),'AES Indiana Bill Calc.'!$D$19,-1)</f>
        <v>-1</v>
      </c>
      <c r="C144" s="1" t="s">
        <v>164</v>
      </c>
      <c r="F144" s="36" t="s">
        <v>168</v>
      </c>
      <c r="G144" s="17">
        <f>SUM(J144:M144,O144:P144,R144:AA144)</f>
        <v>39.880000000000003</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v>
      </c>
      <c r="U144" s="42">
        <f>ROUND($B144*U$93,2)</f>
        <v>0</v>
      </c>
      <c r="V144" s="41">
        <f>ROUND($B144*V$88,2)</f>
        <v>0</v>
      </c>
      <c r="W144" s="42">
        <f>ROUND($B144*W$93,2)</f>
        <v>0</v>
      </c>
      <c r="X144" s="42">
        <f>ROUND($B144*X$93,2)</f>
        <v>0</v>
      </c>
      <c r="Y144" s="42">
        <f>ROUND($B144*Y$93,2)</f>
        <v>0</v>
      </c>
      <c r="Z144" s="42">
        <f>ROUND($B144*Z$93,2)</f>
        <v>0</v>
      </c>
      <c r="AA144" s="42">
        <f>ROUND($B144*AA$93,2)</f>
        <v>0</v>
      </c>
      <c r="AB144" s="19">
        <f>SUM(U$93:AA$93)+(-V$93+V104)</f>
        <v>-6.5579999999999979E-3</v>
      </c>
      <c r="AC144" s="94" t="str">
        <f>+F144</f>
        <v>SS0</v>
      </c>
    </row>
    <row r="145" spans="2:123" x14ac:dyDescent="0.2">
      <c r="B145" s="103">
        <v>-1</v>
      </c>
      <c r="F145" s="36"/>
      <c r="S145" s="50">
        <v>0</v>
      </c>
    </row>
    <row r="146" spans="2:123" x14ac:dyDescent="0.2">
      <c r="B146" s="103">
        <f>IF(AND('AES Indiana Bill Calc.'!$D$17="SS",'AES Indiana Bill Calc.'!$D$18="No",'AES Indiana Bill Calc.'!$D$20="Yes 2020"),'AES Indiana Bill Calc.'!$D$19,-1)</f>
        <v>-1</v>
      </c>
      <c r="C146" s="1" t="s">
        <v>147</v>
      </c>
      <c r="F146" s="36" t="s">
        <v>168</v>
      </c>
      <c r="G146" s="17">
        <f>SUM(J146:M146,O146:P146,R146:AA146)</f>
        <v>39.880000000000003</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v>
      </c>
      <c r="U146" s="42">
        <f>ROUND($B146*U$93,2)</f>
        <v>0</v>
      </c>
      <c r="V146" s="41">
        <f>ROUND($B146*V$88,2)</f>
        <v>0</v>
      </c>
      <c r="W146" s="42">
        <f>ROUND($B146*W$93,2)</f>
        <v>0</v>
      </c>
      <c r="X146" s="42">
        <f>ROUND($B146*X$93,2)</f>
        <v>0</v>
      </c>
      <c r="Y146" s="42">
        <f>ROUND($B146*Y$93,2)</f>
        <v>0</v>
      </c>
      <c r="Z146" s="42">
        <f>ROUND($B146*Z$93,2)</f>
        <v>0</v>
      </c>
      <c r="AA146" s="42">
        <f>ROUND($B146*AA$93,2)</f>
        <v>0</v>
      </c>
      <c r="AB146" s="19">
        <f>SUM(U$93:AA$93)+(-V$93+V106)</f>
        <v>-6.5579999999999979E-3</v>
      </c>
      <c r="AC146" s="94" t="str">
        <f>+F146</f>
        <v>SS0</v>
      </c>
    </row>
    <row r="147" spans="2:123" x14ac:dyDescent="0.2">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x14ac:dyDescent="0.2">
      <c r="B148" s="103">
        <f>IF(AND('AES Indiana Bill Calc.'!$D$17="SS",'AES Indiana Bill Calc.'!$D$18="Yes 100%",'AES Indiana Bill Calc.'!$D$20="Yes 2021"),'AES Indiana Bill Calc.'!$D$19,-1)</f>
        <v>-1</v>
      </c>
      <c r="C148" s="1" t="s">
        <v>148</v>
      </c>
      <c r="D148" s="148"/>
      <c r="F148" s="36" t="s">
        <v>169</v>
      </c>
      <c r="G148" s="42">
        <f>SUM(J148:M148,O148:P148,R148:AA148)</f>
        <v>39.880000000000003</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v>
      </c>
      <c r="U148" s="42">
        <f>ROUND($B148*U$93,2)</f>
        <v>0</v>
      </c>
      <c r="V148" s="41">
        <f>ROUND($B148*V$89,2)</f>
        <v>0</v>
      </c>
      <c r="W148" s="148"/>
      <c r="X148" s="42">
        <f>ROUND($B148*X$93,2)</f>
        <v>0</v>
      </c>
      <c r="Y148" s="42">
        <f>ROUND($B148*Y$93,2)</f>
        <v>0</v>
      </c>
      <c r="Z148" s="42">
        <f>ROUND($B148*Z$93,2)</f>
        <v>0</v>
      </c>
      <c r="AA148" s="42">
        <f>ROUND($B148*AA$93,2)</f>
        <v>0</v>
      </c>
      <c r="AB148" s="19">
        <f>SUM(U$93:AA$93)+(-V$93+V110)</f>
        <v>3.4420000000000006E-3</v>
      </c>
      <c r="AC148" s="148"/>
    </row>
    <row r="149" spans="2:123" x14ac:dyDescent="0.2">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x14ac:dyDescent="0.2">
      <c r="B150" s="103">
        <f>IF(AND('AES Indiana Bill Calc.'!$D$17="SS",'AES Indiana Bill Calc.'!$D$18="Yes 50%",'AES Indiana Bill Calc.'!$D$20="Yes 2021"),'AES Indiana Bill Calc.'!$D$19,-1)</f>
        <v>-1</v>
      </c>
      <c r="C150" s="1" t="s">
        <v>149</v>
      </c>
      <c r="D150" s="148"/>
      <c r="F150" s="36" t="s">
        <v>169</v>
      </c>
      <c r="G150" s="42">
        <f>SUM(J150:M150,O150:P150,R150:AA150)</f>
        <v>39.880000000000003</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v>
      </c>
      <c r="U150" s="42">
        <f>ROUND($B150*U$93,2)</f>
        <v>0</v>
      </c>
      <c r="V150" s="41">
        <f>ROUND($B150*V$89,2)</f>
        <v>0</v>
      </c>
      <c r="W150" s="148"/>
      <c r="X150" s="42">
        <f>ROUND($B150*X$93,2)</f>
        <v>0</v>
      </c>
      <c r="Y150" s="42">
        <f>ROUND($B150*Y$93,2)</f>
        <v>0</v>
      </c>
      <c r="Z150" s="42">
        <f>ROUND($B150*Z$93,2)</f>
        <v>0</v>
      </c>
      <c r="AA150" s="42">
        <f>ROUND($B150*AA$93,2)</f>
        <v>0</v>
      </c>
      <c r="AB150" s="19">
        <f>SUM(U$93:AA$93)+(-V$93+V112)</f>
        <v>3.4420000000000006E-3</v>
      </c>
      <c r="AC150" s="148"/>
    </row>
    <row r="151" spans="2:123" x14ac:dyDescent="0.2">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x14ac:dyDescent="0.2">
      <c r="B152" s="103">
        <f>IF(AND('AES Indiana Bill Calc.'!$D$17="SS",'AES Indiana Bill Calc.'!$D$18="Yes 25%",'AES Indiana Bill Calc.'!$D$20="Yes 2021"),'AES Indiana Bill Calc.'!$D$19,-1)</f>
        <v>-1</v>
      </c>
      <c r="C152" s="1" t="s">
        <v>150</v>
      </c>
      <c r="D152" s="148"/>
      <c r="F152" s="36" t="s">
        <v>169</v>
      </c>
      <c r="G152" s="42">
        <f>SUM(J152:M152,O152:P152,R152:AA152)</f>
        <v>39.880000000000003</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v>
      </c>
      <c r="U152" s="42">
        <f>ROUND($B152*U$93,2)</f>
        <v>0</v>
      </c>
      <c r="V152" s="41">
        <f>ROUND($B152*V$89,2)</f>
        <v>0</v>
      </c>
      <c r="W152" s="148"/>
      <c r="X152" s="42">
        <f>ROUND($B152*X$93,2)</f>
        <v>0</v>
      </c>
      <c r="Y152" s="42">
        <f>ROUND($B152*Y$93,2)</f>
        <v>0</v>
      </c>
      <c r="Z152" s="42">
        <f>ROUND($B152*Z$93,2)</f>
        <v>0</v>
      </c>
      <c r="AA152" s="42">
        <f>ROUND($B152*AA$93,2)</f>
        <v>0</v>
      </c>
      <c r="AB152" s="19">
        <f>SUM(U$93:AA$93)+(-V$93+V114)</f>
        <v>3.4420000000000006E-3</v>
      </c>
      <c r="AC152" s="148"/>
    </row>
    <row r="153" spans="2:123" x14ac:dyDescent="0.2">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x14ac:dyDescent="0.2">
      <c r="B154" s="103">
        <f>IF(AND('AES Indiana Bill Calc.'!$D$17="SS",'AES Indiana Bill Calc.'!$D$18="Yes 10%",'AES Indiana Bill Calc.'!$D$20="Yes 2021"),'AES Indiana Bill Calc.'!$D$19,-1)</f>
        <v>-1</v>
      </c>
      <c r="C154" s="1" t="s">
        <v>164</v>
      </c>
      <c r="D154" s="148"/>
      <c r="F154" s="36" t="s">
        <v>169</v>
      </c>
      <c r="G154" s="42">
        <f>SUM(J154:M154,O154:P154,R154:AA154)</f>
        <v>39.880000000000003</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v>
      </c>
      <c r="U154" s="42">
        <f>ROUND($B154*U$93,2)</f>
        <v>0</v>
      </c>
      <c r="V154" s="41">
        <f>ROUND($B154*V$89,2)</f>
        <v>0</v>
      </c>
      <c r="W154" s="148"/>
      <c r="X154" s="42">
        <f>ROUND($B154*X$93,2)</f>
        <v>0</v>
      </c>
      <c r="Y154" s="42">
        <f>ROUND($B154*Y$93,2)</f>
        <v>0</v>
      </c>
      <c r="Z154" s="42">
        <f>ROUND($B154*Z$93,2)</f>
        <v>0</v>
      </c>
      <c r="AA154" s="42">
        <f>ROUND($B154*AA$93,2)</f>
        <v>0</v>
      </c>
      <c r="AB154" s="19">
        <f>SUM(U$93:AA$93)+(-V$93+V116)</f>
        <v>3.4420000000000006E-3</v>
      </c>
      <c r="AC154" s="148"/>
    </row>
    <row r="155" spans="2:123" x14ac:dyDescent="0.2">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25">
      <c r="B156" s="97">
        <f>IF(AND('AES Indiana Bill Calc.'!$D$17="SS",'AES Indiana Bill Calc.'!$D$18="No",'AES Indiana Bill Calc.'!$D$20="Yes 2021"),'AES Indiana Bill Calc.'!$D$19,-1)</f>
        <v>-1</v>
      </c>
      <c r="C156" s="149" t="s">
        <v>147</v>
      </c>
      <c r="D156" s="148"/>
      <c r="F156" s="36" t="s">
        <v>169</v>
      </c>
      <c r="G156" s="42">
        <f>SUM(J156:M156,O156:P156,R156:AA156)</f>
        <v>39.880000000000003</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v>
      </c>
      <c r="U156" s="42">
        <f>ROUND($B156*U$93,2)</f>
        <v>0</v>
      </c>
      <c r="V156" s="41">
        <f>ROUND($B156*V$89,2)</f>
        <v>0</v>
      </c>
      <c r="W156" s="148"/>
      <c r="X156" s="42">
        <f>ROUND($B156*X$93,2)</f>
        <v>0</v>
      </c>
      <c r="Y156" s="42">
        <f>ROUND($B156*Y$93,2)</f>
        <v>0</v>
      </c>
      <c r="Z156" s="42">
        <f>ROUND($B156*Z$93,2)</f>
        <v>0</v>
      </c>
      <c r="AA156" s="42">
        <f>ROUND($B156*AA$93,2)</f>
        <v>0</v>
      </c>
      <c r="AB156" s="19">
        <f>SUM(U$93:AA$93)+(-V$93+V118)</f>
        <v>3.4420000000000006E-3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x14ac:dyDescent="0.2">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x14ac:dyDescent="0.2">
      <c r="B158" s="97">
        <f>IF(AND('AES Indiana Bill Calc.'!$D$17="SS",'AES Indiana Bill Calc.'!$D$18="Yes 100%",'AES Indiana Bill Calc.'!$D$20="Yes 2022"),'AES Indiana Bill Calc.'!$D$19,-1)</f>
        <v>-1</v>
      </c>
      <c r="C158" s="149" t="s">
        <v>148</v>
      </c>
      <c r="D158" s="148"/>
      <c r="F158" s="36" t="s">
        <v>170</v>
      </c>
      <c r="G158" s="42">
        <f>SUM(J158:M158,O158:P158,R158:AA158)</f>
        <v>39.880000000000003</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v>
      </c>
      <c r="U158" s="42">
        <f>ROUND($B158*U$93,2)</f>
        <v>0</v>
      </c>
      <c r="V158" s="41">
        <f>ROUND($B158*V$90,2)</f>
        <v>0</v>
      </c>
      <c r="W158" s="148"/>
      <c r="X158" s="42">
        <f>ROUND($B158*X$93,2)</f>
        <v>0</v>
      </c>
      <c r="Y158" s="42">
        <f>ROUND($B158*Y$93,2)</f>
        <v>0</v>
      </c>
      <c r="Z158" s="42">
        <f>ROUND($B158*Z$93,2)</f>
        <v>0</v>
      </c>
      <c r="AA158" s="42">
        <f>ROUND($B158*AA$93,2)</f>
        <v>0</v>
      </c>
      <c r="AB158" s="19">
        <f>SUM(U$93:AA$93)+(-V$93+V120)</f>
        <v>3.4420000000000006E-3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x14ac:dyDescent="0.2">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x14ac:dyDescent="0.2">
      <c r="B160" s="97">
        <f>IF(AND('AES Indiana Bill Calc.'!$D$17="SS",'AES Indiana Bill Calc.'!$D$18="Yes 50%",'AES Indiana Bill Calc.'!$D$20="Yes 2022"),'AES Indiana Bill Calc.'!$D$19,-1)</f>
        <v>-1</v>
      </c>
      <c r="C160" s="149" t="s">
        <v>149</v>
      </c>
      <c r="D160" s="148"/>
      <c r="F160" s="36" t="s">
        <v>170</v>
      </c>
      <c r="G160" s="42">
        <f>SUM(J160:M160,O160:P160,R160:AA160)</f>
        <v>39.880000000000003</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v>
      </c>
      <c r="U160" s="42">
        <f>ROUND($B160*U$93,2)</f>
        <v>0</v>
      </c>
      <c r="V160" s="41">
        <f>ROUND($B160*V$90,2)</f>
        <v>0</v>
      </c>
      <c r="W160" s="148"/>
      <c r="X160" s="42">
        <f>ROUND($B160*X$93,2)</f>
        <v>0</v>
      </c>
      <c r="Y160" s="42">
        <f>ROUND($B160*Y$93,2)</f>
        <v>0</v>
      </c>
      <c r="Z160" s="42">
        <f>ROUND($B160*Z$93,2)</f>
        <v>0</v>
      </c>
      <c r="AA160" s="42">
        <f>ROUND($B160*AA$93,2)</f>
        <v>0</v>
      </c>
      <c r="AB160" s="19">
        <f>SUM(U$93:AA$93)+(-V$93+V122)</f>
        <v>3.4420000000000006E-3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x14ac:dyDescent="0.2">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x14ac:dyDescent="0.2">
      <c r="B162" s="97">
        <f>IF(AND('AES Indiana Bill Calc.'!$D$17="SS",'AES Indiana Bill Calc.'!$D$18="Yes 25%",'AES Indiana Bill Calc.'!$D$20="Yes 2022"),'AES Indiana Bill Calc.'!$D$19,-1)</f>
        <v>-1</v>
      </c>
      <c r="C162" s="149" t="s">
        <v>150</v>
      </c>
      <c r="D162" s="148"/>
      <c r="F162" s="36" t="s">
        <v>170</v>
      </c>
      <c r="G162" s="42">
        <f>SUM(J162:M162,O162:P162,R162:AA162)</f>
        <v>39.880000000000003</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v>
      </c>
      <c r="U162" s="42">
        <f>ROUND($B162*U$93,2)</f>
        <v>0</v>
      </c>
      <c r="V162" s="41">
        <f>ROUND($B162*V$90,2)</f>
        <v>0</v>
      </c>
      <c r="W162" s="148"/>
      <c r="X162" s="42">
        <f>ROUND($B162*X$93,2)</f>
        <v>0</v>
      </c>
      <c r="Y162" s="42">
        <f>ROUND($B162*Y$93,2)</f>
        <v>0</v>
      </c>
      <c r="Z162" s="42">
        <f>ROUND($B162*Z$93,2)</f>
        <v>0</v>
      </c>
      <c r="AA162" s="42">
        <f>ROUND($B162*AA$93,2)</f>
        <v>0</v>
      </c>
      <c r="AB162" s="19">
        <f>SUM(U$93:AA$93)+(-V$93+V124)</f>
        <v>3.4420000000000006E-3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x14ac:dyDescent="0.2">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x14ac:dyDescent="0.2">
      <c r="B164" s="97">
        <f>IF(AND('AES Indiana Bill Calc.'!$D$17="SS",'AES Indiana Bill Calc.'!$D$18="Yes 10%",'AES Indiana Bill Calc.'!$D$20="Yes 2022"),'AES Indiana Bill Calc.'!$D$19,-1)</f>
        <v>-1</v>
      </c>
      <c r="C164" s="149" t="s">
        <v>164</v>
      </c>
      <c r="D164" s="148"/>
      <c r="F164" s="36" t="s">
        <v>170</v>
      </c>
      <c r="G164" s="42">
        <f>SUM(J164:M164,O164:P164,R164:AA164)</f>
        <v>39.880000000000003</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v>
      </c>
      <c r="U164" s="42">
        <f>ROUND($B164*U$93,2)</f>
        <v>0</v>
      </c>
      <c r="V164" s="41">
        <f>ROUND($B164*V$90,2)</f>
        <v>0</v>
      </c>
      <c r="W164" s="148"/>
      <c r="X164" s="42">
        <f>ROUND($B164*X$93,2)</f>
        <v>0</v>
      </c>
      <c r="Y164" s="42">
        <f>ROUND($B164*Y$93,2)</f>
        <v>0</v>
      </c>
      <c r="Z164" s="42">
        <f>ROUND($B164*Z$93,2)</f>
        <v>0</v>
      </c>
      <c r="AA164" s="42">
        <f>ROUND($B164*AA$93,2)</f>
        <v>0</v>
      </c>
      <c r="AB164" s="19">
        <f>SUM(U$93:AA$93)+(-V$93+V126)</f>
        <v>3.4420000000000006E-3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x14ac:dyDescent="0.2">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x14ac:dyDescent="0.2">
      <c r="B166" s="97">
        <f>IF(AND('AES Indiana Bill Calc.'!$D$17="SS",'AES Indiana Bill Calc.'!$D$18="No",'AES Indiana Bill Calc.'!$D$20="Yes 2022"),'AES Indiana Bill Calc.'!$D$19,-1)</f>
        <v>-1</v>
      </c>
      <c r="C166" s="149" t="s">
        <v>147</v>
      </c>
      <c r="D166" s="148"/>
      <c r="F166" s="36" t="s">
        <v>170</v>
      </c>
      <c r="G166" s="42">
        <f>SUM(J166:M166,O166:P166,R166:AA166)</f>
        <v>39.880000000000003</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v>
      </c>
      <c r="U166" s="42">
        <f>ROUND($B166*U$93,2)</f>
        <v>0</v>
      </c>
      <c r="V166" s="41">
        <f>ROUND($B166*V$90,2)</f>
        <v>0</v>
      </c>
      <c r="W166" s="148"/>
      <c r="X166" s="42">
        <f>ROUND($B166*X$93,2)</f>
        <v>0</v>
      </c>
      <c r="Y166" s="42">
        <f>ROUND($B166*Y$93,2)</f>
        <v>0</v>
      </c>
      <c r="Z166" s="42">
        <f>ROUND($B166*Z$93,2)</f>
        <v>0</v>
      </c>
      <c r="AA166" s="42">
        <f>ROUND($B166*AA$93,2)</f>
        <v>0</v>
      </c>
      <c r="AB166" s="19">
        <f>SUM(U$93:AA$93)+(-V$93+V128)</f>
        <v>3.4420000000000006E-3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x14ac:dyDescent="0.2">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x14ac:dyDescent="0.2">
      <c r="B168" s="97">
        <f>IF(AND('AES Indiana Bill Calc.'!$D$17="SS",'AES Indiana Bill Calc.'!$D$18="Yes 100%",'AES Indiana Bill Calc.'!$D$20="Yes 2023"),'AES Indiana Bill Calc.'!$D$19,-1)</f>
        <v>-1</v>
      </c>
      <c r="C168" s="149" t="s">
        <v>148</v>
      </c>
      <c r="D168" s="148"/>
      <c r="F168" s="36" t="s">
        <v>171</v>
      </c>
      <c r="G168" s="42">
        <f>SUM(J168:M168,O168:P168,R168:AA168)</f>
        <v>39.880000000000003</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v>
      </c>
      <c r="U168" s="42">
        <f>ROUND($B168*U$93,2)</f>
        <v>0</v>
      </c>
      <c r="V168" s="41">
        <f>ROUND($B168*V$91,2)</f>
        <v>0</v>
      </c>
      <c r="W168" s="148"/>
      <c r="X168" s="42">
        <f>ROUND($B168*X$93,2)</f>
        <v>0</v>
      </c>
      <c r="Y168" s="42">
        <f>ROUND($B168*Y$93,2)</f>
        <v>0</v>
      </c>
      <c r="Z168" s="42">
        <f>ROUND($B168*Z$93,2)</f>
        <v>0</v>
      </c>
      <c r="AA168" s="42">
        <f>ROUND($B168*AA$93,2)</f>
        <v>0</v>
      </c>
      <c r="AB168" s="19">
        <f>SUM(U$93:AA$93)+(-V$93+V130)</f>
        <v>3.4420000000000006E-3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x14ac:dyDescent="0.2">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x14ac:dyDescent="0.2">
      <c r="B170" s="103">
        <f>IF(AND('AES Indiana Bill Calc.'!$D$17="SS",'AES Indiana Bill Calc.'!$D$18="Yes 50%",'AES Indiana Bill Calc.'!$D$20="Yes 2023"),'AES Indiana Bill Calc.'!$D$19,-1)</f>
        <v>-1</v>
      </c>
      <c r="C170" s="1" t="s">
        <v>149</v>
      </c>
      <c r="D170" s="148"/>
      <c r="F170" s="36" t="s">
        <v>171</v>
      </c>
      <c r="G170" s="42">
        <f>SUM(J170:M170,O170:P170,R170:AA170)</f>
        <v>39.880000000000003</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v>
      </c>
      <c r="U170" s="42">
        <f>ROUND($B170*U$93,2)</f>
        <v>0</v>
      </c>
      <c r="V170" s="41">
        <f>ROUND($B170*V$91,2)</f>
        <v>0</v>
      </c>
      <c r="W170" s="148"/>
      <c r="X170" s="42">
        <f>ROUND($B170*X$93,2)</f>
        <v>0</v>
      </c>
      <c r="Y170" s="42">
        <f>ROUND($B170*Y$93,2)</f>
        <v>0</v>
      </c>
      <c r="Z170" s="42">
        <f>ROUND($B170*Z$93,2)</f>
        <v>0</v>
      </c>
      <c r="AA170" s="42">
        <f>ROUND($B170*AA$93,2)</f>
        <v>0</v>
      </c>
      <c r="AB170" s="19">
        <f>SUM(U$93:AA$93)+(-V$93+V132)</f>
        <v>3.4420000000000006E-3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x14ac:dyDescent="0.2">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x14ac:dyDescent="0.2">
      <c r="B172" s="103">
        <f>IF(AND('AES Indiana Bill Calc.'!$D$17="SS",'AES Indiana Bill Calc.'!$D$18="Yes 25%",'AES Indiana Bill Calc.'!$D$20="Yes 2023"),'AES Indiana Bill Calc.'!$D$19,-1)</f>
        <v>-1</v>
      </c>
      <c r="C172" s="1" t="s">
        <v>150</v>
      </c>
      <c r="D172" s="148"/>
      <c r="F172" s="36" t="s">
        <v>171</v>
      </c>
      <c r="G172" s="42">
        <f>SUM(J172:M172,O172:P172,R172:AA172)</f>
        <v>39.880000000000003</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v>
      </c>
      <c r="U172" s="42">
        <f>ROUND($B172*U$93,2)</f>
        <v>0</v>
      </c>
      <c r="V172" s="41">
        <f>ROUND($B172*V$91,2)</f>
        <v>0</v>
      </c>
      <c r="W172" s="148"/>
      <c r="X172" s="42">
        <f>ROUND($B172*X$93,2)</f>
        <v>0</v>
      </c>
      <c r="Y172" s="42">
        <f>ROUND($B172*Y$93,2)</f>
        <v>0</v>
      </c>
      <c r="Z172" s="42">
        <f>ROUND($B172*Z$93,2)</f>
        <v>0</v>
      </c>
      <c r="AA172" s="42">
        <f>ROUND($B172*AA$93,2)</f>
        <v>0</v>
      </c>
      <c r="AB172" s="19">
        <f>SUM(U$93:AA$93)+(-V$93+V134)</f>
        <v>3.4420000000000006E-3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x14ac:dyDescent="0.2">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x14ac:dyDescent="0.2">
      <c r="B174" s="103">
        <f>IF(AND('AES Indiana Bill Calc.'!$D$17="SS",'AES Indiana Bill Calc.'!$D$18="Yes 10%",'AES Indiana Bill Calc.'!$D$20="Yes 2023"),'AES Indiana Bill Calc.'!$D$19,-1)</f>
        <v>-1</v>
      </c>
      <c r="C174" s="1" t="s">
        <v>164</v>
      </c>
      <c r="D174" s="148"/>
      <c r="F174" s="36" t="s">
        <v>171</v>
      </c>
      <c r="G174" s="42">
        <f>SUM(J174:M174,O174:P174,R174:AA174)</f>
        <v>39.880000000000003</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v>
      </c>
      <c r="U174" s="42">
        <f>ROUND($B174*U$93,2)</f>
        <v>0</v>
      </c>
      <c r="V174" s="41">
        <f>ROUND($B174*V$91,2)</f>
        <v>0</v>
      </c>
      <c r="W174" s="148"/>
      <c r="X174" s="42">
        <f>ROUND($B174*X$93,2)</f>
        <v>0</v>
      </c>
      <c r="Y174" s="42">
        <f>ROUND($B174*Y$93,2)</f>
        <v>0</v>
      </c>
      <c r="Z174" s="42">
        <f>ROUND($B174*Z$93,2)</f>
        <v>0</v>
      </c>
      <c r="AA174" s="42">
        <f>ROUND($B174*AA$93,2)</f>
        <v>0</v>
      </c>
      <c r="AB174" s="19">
        <f>SUM(U$93:AA$93)+(-V$93+V136)</f>
        <v>3.4420000000000006E-3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x14ac:dyDescent="0.2">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25">
      <c r="A176" s="21"/>
      <c r="B176" s="106">
        <f>IF(AND('AES Indiana Bill Calc.'!$D$17="SS",'AES Indiana Bill Calc.'!$D$18="No",'AES Indiana Bill Calc.'!$D$20="Yes 2023"),'AES Indiana Bill Calc.'!$D$19,-1)</f>
        <v>-1</v>
      </c>
      <c r="C176" s="150" t="s">
        <v>147</v>
      </c>
      <c r="D176" s="125"/>
      <c r="E176" s="21"/>
      <c r="F176" s="79" t="s">
        <v>171</v>
      </c>
      <c r="G176" s="23">
        <f>SUM(J176:M176,O176:P176,R176:AA176)</f>
        <v>39.880000000000003</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v>
      </c>
      <c r="U176" s="23">
        <f>ROUND($B176*U$93,2)</f>
        <v>0</v>
      </c>
      <c r="V176" s="24">
        <f>ROUND($B176*V$91,2)</f>
        <v>0</v>
      </c>
      <c r="W176" s="125"/>
      <c r="X176" s="23">
        <f>ROUND($B176*X$93,2)</f>
        <v>0</v>
      </c>
      <c r="Y176" s="23">
        <f>ROUND($B176*Y$93,2)</f>
        <v>0</v>
      </c>
      <c r="Z176" s="23">
        <f>ROUND($B176*Z$93,2)</f>
        <v>0</v>
      </c>
      <c r="AA176" s="23">
        <f>ROUND($B176*AA$93,2)</f>
        <v>0</v>
      </c>
      <c r="AB176" s="25">
        <f>SUM(U$93:AA$93)+(-V$93+V138)</f>
        <v>3.4420000000000006E-3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x14ac:dyDescent="0.2">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x14ac:dyDescent="0.2">
      <c r="B178" s="97">
        <f>IF(AND('AES Indiana Bill Calc.'!$D$17="SS",'AES Indiana Bill Calc.'!$D$18="Yes 100%",'AES Indiana Bill Calc.'!$D$20="Yes 2024"),'AES Indiana Bill Calc.'!$D$19,-1)</f>
        <v>-1</v>
      </c>
      <c r="C178" s="149" t="s">
        <v>148</v>
      </c>
      <c r="D178" s="148"/>
      <c r="F178" s="36" t="s">
        <v>309</v>
      </c>
      <c r="G178" s="42">
        <f>SUM(J178:M178,O178:P178,R178:AA178)</f>
        <v>39.880000000000003</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v>
      </c>
      <c r="U178" s="42">
        <f>ROUND($B178*U$93,2)</f>
        <v>0</v>
      </c>
      <c r="V178" s="41">
        <f>ROUND($B178*V$92,2)</f>
        <v>0</v>
      </c>
      <c r="W178" s="148"/>
      <c r="X178" s="42">
        <f>ROUND($B178*X$93,2)</f>
        <v>0</v>
      </c>
      <c r="Y178" s="42">
        <f>ROUND($B178*Y$93,2)</f>
        <v>0</v>
      </c>
      <c r="Z178" s="42">
        <f>ROUND($B178*Z$93,2)</f>
        <v>0</v>
      </c>
      <c r="AA178" s="42">
        <f>ROUND($B178*AA$93,2)</f>
        <v>0</v>
      </c>
      <c r="AB178" s="19">
        <f>SUM(U$93:AA$93)+(-V$93+V140)</f>
        <v>3.4420000000000006E-3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x14ac:dyDescent="0.2">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x14ac:dyDescent="0.2">
      <c r="B180" s="103">
        <f>IF(AND('AES Indiana Bill Calc.'!$D$17="SS",'AES Indiana Bill Calc.'!$D$18="Yes 50%",'AES Indiana Bill Calc.'!$D$20="Yes 2024"),'AES Indiana Bill Calc.'!$D$19,-1)</f>
        <v>-1</v>
      </c>
      <c r="C180" s="1" t="s">
        <v>149</v>
      </c>
      <c r="D180" s="148"/>
      <c r="F180" s="36" t="s">
        <v>309</v>
      </c>
      <c r="G180" s="42">
        <f>SUM(J180:M180,O180:P180,R180:AA180)</f>
        <v>39.880000000000003</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v>
      </c>
      <c r="U180" s="42">
        <f>ROUND($B180*U$93,2)</f>
        <v>0</v>
      </c>
      <c r="V180" s="41">
        <f>ROUND($B180*V$92,2)</f>
        <v>0</v>
      </c>
      <c r="W180" s="148"/>
      <c r="X180" s="42">
        <f>ROUND($B180*X$93,2)</f>
        <v>0</v>
      </c>
      <c r="Y180" s="42">
        <f>ROUND($B180*Y$93,2)</f>
        <v>0</v>
      </c>
      <c r="Z180" s="42">
        <f>ROUND($B180*Z$93,2)</f>
        <v>0</v>
      </c>
      <c r="AA180" s="42">
        <f>ROUND($B180*AA$93,2)</f>
        <v>0</v>
      </c>
      <c r="AB180" s="19">
        <f>SUM(U$93:AA$93)+(-V$93+V142)</f>
        <v>3.4420000000000006E-3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x14ac:dyDescent="0.2">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x14ac:dyDescent="0.2">
      <c r="B182" s="103">
        <f>IF(AND('AES Indiana Bill Calc.'!$D$17="SS",'AES Indiana Bill Calc.'!$D$18="Yes 25%",'AES Indiana Bill Calc.'!$D$20="Yes 2024"),'AES Indiana Bill Calc.'!$D$19,-1)</f>
        <v>-1</v>
      </c>
      <c r="C182" s="1" t="s">
        <v>150</v>
      </c>
      <c r="D182" s="148"/>
      <c r="F182" s="36" t="s">
        <v>309</v>
      </c>
      <c r="G182" s="42">
        <f>SUM(J182:M182,O182:P182,R182:AA182)</f>
        <v>39.880000000000003</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v>
      </c>
      <c r="U182" s="42">
        <f>ROUND($B182*U$93,2)</f>
        <v>0</v>
      </c>
      <c r="V182" s="41">
        <f>ROUND($B182*V$92,2)</f>
        <v>0</v>
      </c>
      <c r="W182" s="148"/>
      <c r="X182" s="42">
        <f>ROUND($B182*X$93,2)</f>
        <v>0</v>
      </c>
      <c r="Y182" s="42">
        <f>ROUND($B182*Y$93,2)</f>
        <v>0</v>
      </c>
      <c r="Z182" s="42">
        <f>ROUND($B182*Z$93,2)</f>
        <v>0</v>
      </c>
      <c r="AA182" s="42">
        <f>ROUND($B182*AA$93,2)</f>
        <v>0</v>
      </c>
      <c r="AB182" s="19">
        <f>SUM(U$93:AA$93)+(-V$93+V144)</f>
        <v>3.4420000000000006E-3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x14ac:dyDescent="0.2">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x14ac:dyDescent="0.2">
      <c r="B184" s="103">
        <f>IF(AND('AES Indiana Bill Calc.'!$D$17="SS",'AES Indiana Bill Calc.'!$D$18="Yes 10%",'AES Indiana Bill Calc.'!$D$20="Yes 2024"),'AES Indiana Bill Calc.'!$D$19,-1)</f>
        <v>-1</v>
      </c>
      <c r="C184" s="1" t="s">
        <v>164</v>
      </c>
      <c r="D184" s="148"/>
      <c r="F184" s="36" t="s">
        <v>309</v>
      </c>
      <c r="G184" s="42">
        <f>SUM(J184:M184,O184:P184,R184:AA184)</f>
        <v>39.880000000000003</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v>
      </c>
      <c r="U184" s="42">
        <f>ROUND($B184*U$93,2)</f>
        <v>0</v>
      </c>
      <c r="V184" s="41">
        <f>ROUND($B184*V$92,2)</f>
        <v>0</v>
      </c>
      <c r="W184" s="148"/>
      <c r="X184" s="42">
        <f>ROUND($B184*X$93,2)</f>
        <v>0</v>
      </c>
      <c r="Y184" s="42">
        <f>ROUND($B184*Y$93,2)</f>
        <v>0</v>
      </c>
      <c r="Z184" s="42">
        <f>ROUND($B184*Z$93,2)</f>
        <v>0</v>
      </c>
      <c r="AA184" s="42">
        <f>ROUND($B184*AA$93,2)</f>
        <v>0</v>
      </c>
      <c r="AB184" s="19">
        <f>SUM(U$93:AA$93)+(-V$93+V146)</f>
        <v>3.4420000000000006E-3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x14ac:dyDescent="0.2">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25">
      <c r="A186" s="21"/>
      <c r="B186" s="106">
        <f>IF(AND('AES Indiana Bill Calc.'!$D$17="SS",'AES Indiana Bill Calc.'!$D$18="No",'AES Indiana Bill Calc.'!$D$20="Yes 2024"),'AES Indiana Bill Calc.'!$D$19,-1)</f>
        <v>-1</v>
      </c>
      <c r="C186" s="150" t="s">
        <v>147</v>
      </c>
      <c r="D186" s="125"/>
      <c r="E186" s="21"/>
      <c r="F186" s="36" t="s">
        <v>309</v>
      </c>
      <c r="G186" s="23">
        <f>SUM(J186:M186,O186:P186,R186:AA186)</f>
        <v>39.880000000000003</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v>
      </c>
      <c r="U186" s="23">
        <f>ROUND($B186*U$93,2)</f>
        <v>0</v>
      </c>
      <c r="V186" s="24">
        <f>ROUND($B186*V$92,2)</f>
        <v>0</v>
      </c>
      <c r="W186" s="125"/>
      <c r="X186" s="23">
        <f>ROUND($B186*X$93,2)</f>
        <v>0</v>
      </c>
      <c r="Y186" s="23">
        <f>ROUND($B186*Y$93,2)</f>
        <v>0</v>
      </c>
      <c r="Z186" s="23">
        <f>ROUND($B186*Z$93,2)</f>
        <v>0</v>
      </c>
      <c r="AA186" s="23">
        <f>ROUND($B186*AA$93,2)</f>
        <v>0</v>
      </c>
      <c r="AB186" s="25">
        <f>SUM(U$93:AA$93)+(-V$93+V148)</f>
        <v>3.4420000000000006E-3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x14ac:dyDescent="0.2">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x14ac:dyDescent="0.2">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x14ac:dyDescent="0.2">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
      <c r="B199" s="103">
        <v>-1</v>
      </c>
      <c r="C199" s="4"/>
      <c r="F199" s="8"/>
      <c r="I199" s="19"/>
      <c r="J199" s="163">
        <v>55</v>
      </c>
      <c r="K199" s="164">
        <v>0.123516</v>
      </c>
      <c r="L199" s="5"/>
      <c r="M199" s="5"/>
      <c r="N199" s="5"/>
      <c r="O199" s="5"/>
      <c r="P199" s="5"/>
      <c r="Q199" s="143" t="s">
        <v>173</v>
      </c>
      <c r="R199" s="5"/>
      <c r="S199" s="27">
        <f>+M$4</f>
        <v>3.0000000000000001E-3</v>
      </c>
      <c r="T199" s="27">
        <f t="shared" ref="T199:AA199" si="16">+R$4</f>
        <v>-3.4320000000000002E-3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-4.5600000000000003E-4</v>
      </c>
      <c r="AB199" s="19">
        <f>SUM(U199:Z199)</f>
        <v>1.0548E-2</v>
      </c>
    </row>
    <row r="200" spans="1:29" x14ac:dyDescent="0.2">
      <c r="A200" s="1"/>
      <c r="B200" s="103">
        <v>-1</v>
      </c>
      <c r="F200" s="8"/>
      <c r="I200" s="19"/>
      <c r="J200" s="73"/>
      <c r="K200" s="73">
        <v>999999</v>
      </c>
    </row>
    <row r="201" spans="1:29" x14ac:dyDescent="0.2">
      <c r="B201" s="103">
        <v>-1</v>
      </c>
      <c r="F201" s="12"/>
      <c r="I201" s="19"/>
      <c r="J201" s="12" t="s">
        <v>137</v>
      </c>
      <c r="K201" s="204" t="s">
        <v>28</v>
      </c>
      <c r="L201" s="204"/>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x14ac:dyDescent="0.2">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x14ac:dyDescent="0.2">
      <c r="B204" s="103">
        <f>IF(AND('AES Indiana Bill Calc.'!$D$17="SH",'AES Indiana Bill Calc.'!$D$18="No",'AES Indiana Bill Calc.'!$D$20="No"),'AES Indiana Bill Calc.'!$D$19,-1)</f>
        <v>-1</v>
      </c>
      <c r="C204" s="1" t="s">
        <v>147</v>
      </c>
      <c r="F204" s="36" t="s">
        <v>55</v>
      </c>
      <c r="G204" s="17">
        <f>SUM(J204:M204,O204:P204,R204:AA204)</f>
        <v>54.870000000000005</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v>
      </c>
      <c r="U204" s="17">
        <f t="shared" si="17"/>
        <v>0</v>
      </c>
      <c r="V204" s="17">
        <f t="shared" si="17"/>
        <v>-0.01</v>
      </c>
      <c r="W204" s="17">
        <f t="shared" si="17"/>
        <v>0</v>
      </c>
      <c r="X204" s="17">
        <f t="shared" si="17"/>
        <v>0</v>
      </c>
      <c r="Y204" s="17">
        <f t="shared" si="17"/>
        <v>0</v>
      </c>
      <c r="Z204" s="17">
        <f t="shared" si="17"/>
        <v>0</v>
      </c>
      <c r="AA204" s="17">
        <f t="shared" si="17"/>
        <v>0</v>
      </c>
      <c r="AB204" s="19">
        <f>SUM(U199:AA199)</f>
        <v>1.0092E-2</v>
      </c>
      <c r="AC204" s="67" t="str">
        <f>+F204</f>
        <v>SH</v>
      </c>
    </row>
    <row r="205" spans="1:29" x14ac:dyDescent="0.2">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x14ac:dyDescent="0.2">
      <c r="B206" s="103">
        <f>IF(AND('AES Indiana Bill Calc.'!$D$17="SH",'AES Indiana Bill Calc.'!$D$18="Yes 100%",'AES Indiana Bill Calc.'!$D$20="No"),'AES Indiana Bill Calc.'!$D$19,-1)</f>
        <v>-1</v>
      </c>
      <c r="C206" s="1" t="s">
        <v>148</v>
      </c>
      <c r="F206" s="36" t="s">
        <v>55</v>
      </c>
      <c r="G206" s="17">
        <f>SUM(J206:M206,O206:P206,R206:AA206)</f>
        <v>54.870000000000005</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v>
      </c>
      <c r="U206" s="17">
        <f t="shared" si="18"/>
        <v>0</v>
      </c>
      <c r="V206" s="17">
        <f t="shared" si="18"/>
        <v>-0.01</v>
      </c>
      <c r="W206" s="17">
        <f t="shared" si="18"/>
        <v>0</v>
      </c>
      <c r="X206" s="17">
        <f t="shared" si="18"/>
        <v>0</v>
      </c>
      <c r="Y206" s="17">
        <f t="shared" si="18"/>
        <v>0</v>
      </c>
      <c r="Z206" s="17">
        <f t="shared" si="18"/>
        <v>0</v>
      </c>
      <c r="AA206" s="17">
        <f t="shared" si="18"/>
        <v>0</v>
      </c>
      <c r="AB206" s="19">
        <f>SUM(U$199:AA$199)</f>
        <v>1.0092E-2</v>
      </c>
      <c r="AC206" s="67" t="str">
        <f>+F206</f>
        <v>SH</v>
      </c>
    </row>
    <row r="207" spans="1:29" x14ac:dyDescent="0.2">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x14ac:dyDescent="0.2">
      <c r="B208" s="103">
        <f>IF(AND('AES Indiana Bill Calc.'!$D$17="SH",'AES Indiana Bill Calc.'!$D$18="Yes 50%",'AES Indiana Bill Calc.'!$D$20="No"),'AES Indiana Bill Calc.'!$D$19,-1)</f>
        <v>-1</v>
      </c>
      <c r="C208" s="1" t="s">
        <v>149</v>
      </c>
      <c r="F208" s="36" t="s">
        <v>55</v>
      </c>
      <c r="G208" s="17">
        <f>SUM(J208:M208,O208:P208,R208:AA208)</f>
        <v>54.870000000000005</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v>
      </c>
      <c r="U208" s="17">
        <f t="shared" si="19"/>
        <v>0</v>
      </c>
      <c r="V208" s="17">
        <f t="shared" si="19"/>
        <v>-0.01</v>
      </c>
      <c r="W208" s="17">
        <f t="shared" si="19"/>
        <v>0</v>
      </c>
      <c r="X208" s="17">
        <f t="shared" si="19"/>
        <v>0</v>
      </c>
      <c r="Y208" s="17">
        <f t="shared" si="19"/>
        <v>0</v>
      </c>
      <c r="Z208" s="17">
        <f t="shared" si="19"/>
        <v>0</v>
      </c>
      <c r="AA208" s="17">
        <f t="shared" si="19"/>
        <v>0</v>
      </c>
      <c r="AB208" s="19">
        <f>SUM(U$199:AA$199)</f>
        <v>1.0092E-2</v>
      </c>
      <c r="AC208" s="67" t="str">
        <f>+F208</f>
        <v>SH</v>
      </c>
    </row>
    <row r="209" spans="1:29" x14ac:dyDescent="0.2">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x14ac:dyDescent="0.2">
      <c r="B210" s="103">
        <f>IF(AND('AES Indiana Bill Calc.'!$D$17="SH",'AES Indiana Bill Calc.'!$D$18="Yes 25%",'AES Indiana Bill Calc.'!$D$20="No"),'AES Indiana Bill Calc.'!$D$19,-1)</f>
        <v>-1</v>
      </c>
      <c r="C210" s="1" t="s">
        <v>150</v>
      </c>
      <c r="F210" s="36" t="s">
        <v>55</v>
      </c>
      <c r="G210" s="17">
        <f>SUM(J210:M210,O210:P210,R210:AA210)</f>
        <v>54.870000000000005</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v>
      </c>
      <c r="U210" s="17">
        <f t="shared" si="20"/>
        <v>0</v>
      </c>
      <c r="V210" s="17">
        <f t="shared" si="20"/>
        <v>-0.01</v>
      </c>
      <c r="W210" s="17">
        <f t="shared" si="20"/>
        <v>0</v>
      </c>
      <c r="X210" s="17">
        <f t="shared" si="20"/>
        <v>0</v>
      </c>
      <c r="Y210" s="17">
        <f t="shared" si="20"/>
        <v>0</v>
      </c>
      <c r="Z210" s="17">
        <f t="shared" si="20"/>
        <v>0</v>
      </c>
      <c r="AA210" s="17">
        <f t="shared" si="20"/>
        <v>0</v>
      </c>
      <c r="AB210" s="19">
        <f>SUM(U$199:AA$199)</f>
        <v>1.0092E-2</v>
      </c>
      <c r="AC210" s="67" t="str">
        <f>+F210</f>
        <v>SH</v>
      </c>
    </row>
    <row r="211" spans="1:29" x14ac:dyDescent="0.2">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x14ac:dyDescent="0.2">
      <c r="B212" s="103">
        <f>IF(AND('AES Indiana Bill Calc.'!$D$17="SH",'AES Indiana Bill Calc.'!$D$18="Yes 10%",'AES Indiana Bill Calc.'!$D$20="No"),'AES Indiana Bill Calc.'!$D$19,-1)</f>
        <v>-1</v>
      </c>
      <c r="C212" s="1" t="s">
        <v>164</v>
      </c>
      <c r="F212" s="36" t="s">
        <v>55</v>
      </c>
      <c r="G212" s="17">
        <f>SUM(J212:M212,O212:P212,R212:AA212)</f>
        <v>54.870000000000005</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v>
      </c>
      <c r="U212" s="17">
        <f t="shared" si="21"/>
        <v>0</v>
      </c>
      <c r="V212" s="17">
        <f t="shared" si="21"/>
        <v>-0.01</v>
      </c>
      <c r="W212" s="17">
        <f t="shared" si="21"/>
        <v>0</v>
      </c>
      <c r="X212" s="17">
        <f t="shared" si="21"/>
        <v>0</v>
      </c>
      <c r="Y212" s="17">
        <f t="shared" si="21"/>
        <v>0</v>
      </c>
      <c r="Z212" s="17">
        <f t="shared" si="21"/>
        <v>0</v>
      </c>
      <c r="AA212" s="17">
        <f t="shared" si="21"/>
        <v>0</v>
      </c>
      <c r="AB212" s="19">
        <f>SUM(U$199:AA$199)</f>
        <v>1.0092E-2</v>
      </c>
      <c r="AC212" s="67" t="str">
        <f>+F212</f>
        <v>SH</v>
      </c>
    </row>
    <row r="213" spans="1:29" x14ac:dyDescent="0.2">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x14ac:dyDescent="0.2">
      <c r="B214" s="103">
        <f>IF(AND('AES Indiana Bill Calc.'!$D$17="SH",'AES Indiana Bill Calc.'!$D$18="Yes 100%",'AES Indiana Bill Calc.'!$D$20="Yes Before 2018"),'AES Indiana Bill Calc.'!$D$19,-1)</f>
        <v>-1</v>
      </c>
      <c r="C214" s="1" t="s">
        <v>148</v>
      </c>
      <c r="F214" s="36" t="s">
        <v>175</v>
      </c>
      <c r="G214" s="17">
        <f>SUM(J214:M214,O214:P214,R214:AA214)</f>
        <v>54.88</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3.4420000000000006E-3</v>
      </c>
      <c r="AC214" s="94" t="str">
        <f>+F214</f>
        <v>SH7</v>
      </c>
    </row>
    <row r="215" spans="1:29" x14ac:dyDescent="0.2">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x14ac:dyDescent="0.2">
      <c r="B216" s="103">
        <f>IF(AND('AES Indiana Bill Calc.'!$D$17="SH",'AES Indiana Bill Calc.'!$D$18="Yes 50%",'AES Indiana Bill Calc.'!$D$20="Yes Before 2018"),'AES Indiana Bill Calc.'!$D$19,-1)</f>
        <v>-1</v>
      </c>
      <c r="C216" s="1" t="s">
        <v>149</v>
      </c>
      <c r="F216" s="36" t="s">
        <v>175</v>
      </c>
      <c r="G216" s="17">
        <f>SUM(J216:M216,O216:P216,R216:AA216)</f>
        <v>54.88</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3.4420000000000006E-3</v>
      </c>
      <c r="AC216" s="94" t="str">
        <f>+F216</f>
        <v>SH7</v>
      </c>
    </row>
    <row r="217" spans="1:29" x14ac:dyDescent="0.2">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x14ac:dyDescent="0.2">
      <c r="B218" s="103">
        <f>IF(AND('AES Indiana Bill Calc.'!$D$17="SH",'AES Indiana Bill Calc.'!$D$18="Yes 25%",'AES Indiana Bill Calc.'!$D$20="Yes Before 2018"),'AES Indiana Bill Calc.'!$D$19,-1)</f>
        <v>-1</v>
      </c>
      <c r="C218" s="1" t="s">
        <v>150</v>
      </c>
      <c r="F218" s="36" t="s">
        <v>175</v>
      </c>
      <c r="G218" s="17">
        <f>SUM(J218:M218,O218:P218,R218:AA218)</f>
        <v>54.88</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3.4420000000000006E-3</v>
      </c>
      <c r="AC218" s="94" t="str">
        <f>+F218</f>
        <v>SH7</v>
      </c>
    </row>
    <row r="219" spans="1:29" x14ac:dyDescent="0.2">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x14ac:dyDescent="0.2">
      <c r="B220" s="103">
        <f>IF(AND('AES Indiana Bill Calc.'!$D$17="SH",'AES Indiana Bill Calc.'!$D$18="Yes 10%",'AES Indiana Bill Calc.'!$D$20="Yes Before 2018"),'AES Indiana Bill Calc.'!$D$19,-1)</f>
        <v>-1</v>
      </c>
      <c r="C220" s="1" t="s">
        <v>164</v>
      </c>
      <c r="F220" s="36" t="s">
        <v>175</v>
      </c>
      <c r="G220" s="17">
        <f>SUM(J220:M220,O220:P220,R220:AA220)</f>
        <v>54.88</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3.4420000000000006E-3</v>
      </c>
      <c r="AC220" s="94" t="str">
        <f>+F220</f>
        <v>SH7</v>
      </c>
    </row>
    <row r="221" spans="1:29" x14ac:dyDescent="0.2">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x14ac:dyDescent="0.2">
      <c r="B222" s="103">
        <f>IF(AND('AES Indiana Bill Calc.'!$D$17="SH",'AES Indiana Bill Calc.'!$D$18="No",'AES Indiana Bill Calc.'!$D$20="Yes Before 2018"),'AES Indiana Bill Calc.'!$D$19,-1)</f>
        <v>-1</v>
      </c>
      <c r="C222" s="1" t="s">
        <v>147</v>
      </c>
      <c r="F222" s="36" t="s">
        <v>175</v>
      </c>
      <c r="G222" s="17">
        <f>SUM(J222:M222,O222:P222,R222:AA222)</f>
        <v>54.88</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3.4420000000000006E-3</v>
      </c>
      <c r="AC222" s="94" t="str">
        <f>+F222</f>
        <v>SH7</v>
      </c>
    </row>
    <row r="223" spans="1:29" x14ac:dyDescent="0.2">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x14ac:dyDescent="0.2">
      <c r="A224" s="96"/>
      <c r="B224" s="103">
        <f>IF(AND('AES Indiana Bill Calc.'!$D$17="SH",'AES Indiana Bill Calc.'!$D$18="Yes 100%",'AES Indiana Bill Calc.'!$D$20="Yes 2018"),'AES Indiana Bill Calc.'!$D$19,-1)</f>
        <v>-1</v>
      </c>
      <c r="C224" s="1" t="s">
        <v>148</v>
      </c>
      <c r="F224" s="36" t="s">
        <v>176</v>
      </c>
      <c r="G224" s="17">
        <f>SUM(J224:M224,O224:P224,R224:AA224)</f>
        <v>54.88</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3.4420000000000006E-3</v>
      </c>
      <c r="AC224" s="94" t="str">
        <f>+F224</f>
        <v>SH8</v>
      </c>
    </row>
    <row r="225" spans="1:29" x14ac:dyDescent="0.2">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x14ac:dyDescent="0.2">
      <c r="A226" s="96"/>
      <c r="B226" s="103">
        <f>IF(AND('AES Indiana Bill Calc.'!$D$17="SH",'AES Indiana Bill Calc.'!$D$18="Yes 50%",'AES Indiana Bill Calc.'!$D$20="Yes 2018"),'AES Indiana Bill Calc.'!$D$19,-1)</f>
        <v>-1</v>
      </c>
      <c r="C226" s="1" t="s">
        <v>149</v>
      </c>
      <c r="F226" s="36" t="s">
        <v>176</v>
      </c>
      <c r="G226" s="17">
        <f>SUM(J226:M226,O226:P226,R226:AA226)</f>
        <v>54.88</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3.4330000000000003E-3</v>
      </c>
      <c r="AC226" s="94" t="str">
        <f>+F226</f>
        <v>SH8</v>
      </c>
    </row>
    <row r="227" spans="1:29" x14ac:dyDescent="0.2">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x14ac:dyDescent="0.2">
      <c r="A228" s="96"/>
      <c r="B228" s="103">
        <f>IF(AND('AES Indiana Bill Calc.'!$D$17="SH",'AES Indiana Bill Calc.'!$D$18="Yes 25%",'AES Indiana Bill Calc.'!$D$20="Yes 2018"),'AES Indiana Bill Calc.'!$D$19,-1)</f>
        <v>-1</v>
      </c>
      <c r="C228" s="1" t="s">
        <v>150</v>
      </c>
      <c r="F228" s="36" t="s">
        <v>176</v>
      </c>
      <c r="G228" s="17">
        <f>SUM(J228:M228,O228:P228,R228:AA228)</f>
        <v>54.88</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5.0100000000000144E-4</v>
      </c>
      <c r="AC228" s="94" t="str">
        <f>+F228</f>
        <v>SH8</v>
      </c>
    </row>
    <row r="229" spans="1:29" x14ac:dyDescent="0.2">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x14ac:dyDescent="0.2">
      <c r="A230" s="96"/>
      <c r="B230" s="103">
        <f>IF(AND('AES Indiana Bill Calc.'!$D$17="SH",'AES Indiana Bill Calc.'!$D$18="Yes 10%",'AES Indiana Bill Calc.'!$D$20="Yes 2018"),'AES Indiana Bill Calc.'!$D$19,-1)</f>
        <v>-1</v>
      </c>
      <c r="C230" s="1" t="s">
        <v>164</v>
      </c>
      <c r="F230" s="36" t="s">
        <v>176</v>
      </c>
      <c r="G230" s="17">
        <f>SUM(J230:M230,O230:P230,R230:AA230)</f>
        <v>54.88</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3.4420000000000006E-3</v>
      </c>
      <c r="AC230" s="94" t="str">
        <f>+F230</f>
        <v>SH8</v>
      </c>
    </row>
    <row r="231" spans="1:29" x14ac:dyDescent="0.2">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x14ac:dyDescent="0.2">
      <c r="A232" s="96"/>
      <c r="B232" s="103">
        <f>IF(AND('AES Indiana Bill Calc.'!$D$17="SH",'AES Indiana Bill Calc.'!$D$18="No",'AES Indiana Bill Calc.'!$D$20="Yes 2018"),'AES Indiana Bill Calc.'!$D$19,-1)</f>
        <v>-1</v>
      </c>
      <c r="C232" s="1" t="s">
        <v>147</v>
      </c>
      <c r="F232" s="36" t="s">
        <v>176</v>
      </c>
      <c r="G232" s="17">
        <f>SUM(J232:M232,O232:P232,R232:AA232)</f>
        <v>54.88</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x14ac:dyDescent="0.2">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x14ac:dyDescent="0.2">
      <c r="A234" s="96"/>
      <c r="B234" s="103">
        <f>IF(AND('AES Indiana Bill Calc.'!$D$17="SH",'AES Indiana Bill Calc.'!$D$18="Yes 100%",'AES Indiana Bill Calc.'!$D$20="Yes 2019"),'AES Indiana Bill Calc.'!$D$19,-1)</f>
        <v>-1</v>
      </c>
      <c r="C234" s="1" t="s">
        <v>148</v>
      </c>
      <c r="F234" s="36" t="s">
        <v>177</v>
      </c>
      <c r="G234" s="17">
        <f>SUM(J234:M234,O234:P234,R234:AA234)</f>
        <v>54.88</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1.0092E-2</v>
      </c>
      <c r="AC234" s="94" t="str">
        <f>+F234</f>
        <v>SH9</v>
      </c>
    </row>
    <row r="235" spans="1:29" x14ac:dyDescent="0.2">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x14ac:dyDescent="0.2">
      <c r="A236" s="96"/>
      <c r="B236" s="103">
        <f>IF(AND('AES Indiana Bill Calc.'!$D$17="SH",'AES Indiana Bill Calc.'!$D$18="Yes 50%",'AES Indiana Bill Calc.'!$D$20="Yes 2019"),'AES Indiana Bill Calc.'!$D$19,-1)</f>
        <v>-1</v>
      </c>
      <c r="C236" s="1" t="s">
        <v>149</v>
      </c>
      <c r="F236" s="36" t="s">
        <v>177</v>
      </c>
      <c r="G236" s="17">
        <f>SUM(J236:M236,O236:P236,R236:AA236)</f>
        <v>54.88</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22.003442</v>
      </c>
      <c r="AC236" s="94" t="str">
        <f>+F236</f>
        <v>SH9</v>
      </c>
    </row>
    <row r="237" spans="1:29" x14ac:dyDescent="0.2">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x14ac:dyDescent="0.2">
      <c r="A238" s="96"/>
      <c r="B238" s="103">
        <f>IF(AND('AES Indiana Bill Calc.'!$D$17="SH",'AES Indiana Bill Calc.'!$D$18="Yes 25%",'AES Indiana Bill Calc.'!$D$20="Yes 2019"),'AES Indiana Bill Calc.'!$D$19,-1)</f>
        <v>-1</v>
      </c>
      <c r="C238" s="1" t="s">
        <v>150</v>
      </c>
      <c r="F238" s="36" t="s">
        <v>177</v>
      </c>
      <c r="G238" s="17">
        <f>SUM(J238:M238,O238:P238,R238:AA238)</f>
        <v>54.88</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3.4420000000000006E-3</v>
      </c>
      <c r="AC238" s="94" t="str">
        <f>+F238</f>
        <v>SH9</v>
      </c>
    </row>
    <row r="239" spans="1:29" x14ac:dyDescent="0.2">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x14ac:dyDescent="0.2">
      <c r="A240" s="96"/>
      <c r="B240" s="103">
        <f>IF(AND('AES Indiana Bill Calc.'!$D$17="SH",'AES Indiana Bill Calc.'!$D$18="Yes 10%",'AES Indiana Bill Calc.'!$D$20="Yes 2019"),'AES Indiana Bill Calc.'!$D$19,-1)</f>
        <v>-1</v>
      </c>
      <c r="C240" s="1" t="s">
        <v>164</v>
      </c>
      <c r="F240" s="36" t="s">
        <v>177</v>
      </c>
      <c r="G240" s="17">
        <f>SUM(J240:M240,O240:P240,R240:AA240)</f>
        <v>54.88</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3.4420000000000006E-3</v>
      </c>
      <c r="AC240" s="94" t="str">
        <f>+F240</f>
        <v>SH9</v>
      </c>
    </row>
    <row r="241" spans="1:29" x14ac:dyDescent="0.2">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x14ac:dyDescent="0.2">
      <c r="A242" s="96"/>
      <c r="B242" s="103">
        <f>IF(AND('AES Indiana Bill Calc.'!$D$17="SH",'AES Indiana Bill Calc.'!$D$18="No",'AES Indiana Bill Calc.'!$D$20="Yes 2019"),'AES Indiana Bill Calc.'!$D$19,-1)</f>
        <v>-1</v>
      </c>
      <c r="C242" s="1" t="s">
        <v>147</v>
      </c>
      <c r="F242" s="36" t="s">
        <v>177</v>
      </c>
      <c r="G242" s="17">
        <f>SUM(J242:M242,O242:P242,R242:AA242)</f>
        <v>54.88</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3.4420000000000006E-3</v>
      </c>
      <c r="AC242" s="94" t="str">
        <f>+F242</f>
        <v>SH9</v>
      </c>
    </row>
    <row r="243" spans="1:29" x14ac:dyDescent="0.2">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x14ac:dyDescent="0.2">
      <c r="A244" s="96"/>
      <c r="B244" s="103">
        <f>IF(AND('AES Indiana Bill Calc.'!$D$17="SH",'AES Indiana Bill Calc.'!$D$18="Yes 100%",'AES Indiana Bill Calc.'!$D$20="Yes 2020"),'AES Indiana Bill Calc.'!$D$19,-1)</f>
        <v>-1</v>
      </c>
      <c r="C244" s="1" t="s">
        <v>148</v>
      </c>
      <c r="F244" s="36" t="s">
        <v>178</v>
      </c>
      <c r="G244" s="17">
        <f>SUM(J244:M244,O244:P244,R244:AA244)</f>
        <v>54.88</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3.4420000000000006E-3</v>
      </c>
      <c r="AC244" s="94" t="str">
        <f>+F244</f>
        <v>SH0</v>
      </c>
    </row>
    <row r="245" spans="1:29" x14ac:dyDescent="0.2">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x14ac:dyDescent="0.2">
      <c r="A246" s="96"/>
      <c r="B246" s="103">
        <f>IF(AND('AES Indiana Bill Calc.'!$D$17="SH",'AES Indiana Bill Calc.'!$D$18="Yes 50%",'AES Indiana Bill Calc.'!$D$20="Yes 2020"),'AES Indiana Bill Calc.'!$D$19,-1)</f>
        <v>-1</v>
      </c>
      <c r="C246" s="1" t="s">
        <v>149</v>
      </c>
      <c r="F246" s="36" t="s">
        <v>178</v>
      </c>
      <c r="G246" s="17">
        <f>SUM(J246:M246,O246:P246,R246:AA246)</f>
        <v>54.88</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3.4420000000000006E-3</v>
      </c>
      <c r="AC246" s="94" t="str">
        <f>+F246</f>
        <v>SH0</v>
      </c>
    </row>
    <row r="247" spans="1:29" x14ac:dyDescent="0.2">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x14ac:dyDescent="0.2">
      <c r="A248" s="96"/>
      <c r="B248" s="103">
        <f>IF(AND('AES Indiana Bill Calc.'!$D$17="SH",'AES Indiana Bill Calc.'!$D$18="Yes 25%",'AES Indiana Bill Calc.'!$D$20="Yes 2020"),'AES Indiana Bill Calc.'!$D$19,-1)</f>
        <v>-1</v>
      </c>
      <c r="C248" s="1" t="s">
        <v>150</v>
      </c>
      <c r="F248" s="36" t="s">
        <v>178</v>
      </c>
      <c r="G248" s="17">
        <f>SUM(J248:M248,O248:P248,R248:AA248)</f>
        <v>54.88</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3.4420000000000006E-3</v>
      </c>
      <c r="AC248" s="94" t="str">
        <f>+F248</f>
        <v>SH0</v>
      </c>
    </row>
    <row r="249" spans="1:29" x14ac:dyDescent="0.2">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x14ac:dyDescent="0.2">
      <c r="A250" s="96"/>
      <c r="B250" s="103">
        <f>IF(AND('AES Indiana Bill Calc.'!$D$17="SH",'AES Indiana Bill Calc.'!$D$18="Yes 10%",'AES Indiana Bill Calc.'!$D$20="Yes 2020"),'AES Indiana Bill Calc.'!$D$19,-1)</f>
        <v>-1</v>
      </c>
      <c r="C250" s="1" t="s">
        <v>164</v>
      </c>
      <c r="F250" s="36" t="s">
        <v>178</v>
      </c>
      <c r="G250" s="17">
        <f>SUM(J250:M250,O250:P250,R250:AA250)</f>
        <v>54.88</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3.4420000000000006E-3</v>
      </c>
      <c r="AC250" s="94" t="str">
        <f>+F250</f>
        <v>SH0</v>
      </c>
    </row>
    <row r="251" spans="1:29" x14ac:dyDescent="0.2">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x14ac:dyDescent="0.2">
      <c r="A252" s="96"/>
      <c r="B252" s="103">
        <f>IF(AND('AES Indiana Bill Calc.'!$D$17="SH",'AES Indiana Bill Calc.'!$D$18="No",'AES Indiana Bill Calc.'!$D$20="Yes 2020"),'AES Indiana Bill Calc.'!$D$19,-1)</f>
        <v>-1</v>
      </c>
      <c r="C252" s="1" t="s">
        <v>147</v>
      </c>
      <c r="F252" s="36" t="s">
        <v>178</v>
      </c>
      <c r="G252" s="17">
        <f>SUM(J252:M252,O252:P252,R252:AA252)</f>
        <v>54.88</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3.4420000000000006E-3</v>
      </c>
      <c r="AC252" s="94" t="str">
        <f>+F252</f>
        <v>SH0</v>
      </c>
    </row>
    <row r="253" spans="1:29" x14ac:dyDescent="0.2">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x14ac:dyDescent="0.2">
      <c r="A254" s="96"/>
      <c r="B254" s="103">
        <f>IF(AND('AES Indiana Bill Calc.'!$D$17="SH",'AES Indiana Bill Calc.'!$D$18="Yes 100%",'AES Indiana Bill Calc.'!$D$20="Yes 2021"),'AES Indiana Bill Calc.'!$D$19,-1)</f>
        <v>-1</v>
      </c>
      <c r="C254" s="1" t="s">
        <v>148</v>
      </c>
      <c r="F254" s="36" t="s">
        <v>179</v>
      </c>
      <c r="G254" s="17">
        <f>SUM(J254:M254,O254:P254,R254:AA254)</f>
        <v>54.88</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3.4420000000000006E-3</v>
      </c>
      <c r="AC254" s="94" t="str">
        <f>+F254</f>
        <v>SH1</v>
      </c>
    </row>
    <row r="255" spans="1:29" x14ac:dyDescent="0.2">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x14ac:dyDescent="0.2">
      <c r="A256" s="96"/>
      <c r="B256" s="103">
        <f>IF(AND('AES Indiana Bill Calc.'!$D$17="SH",'AES Indiana Bill Calc.'!$D$18="Yes 50%",'AES Indiana Bill Calc.'!$D$20="Yes 2021"),'AES Indiana Bill Calc.'!$D$19,-1)</f>
        <v>-1</v>
      </c>
      <c r="C256" s="1" t="s">
        <v>149</v>
      </c>
      <c r="F256" s="36" t="s">
        <v>179</v>
      </c>
      <c r="G256" s="17">
        <f>SUM(J256:M256,O256:P256,R256:AA256)</f>
        <v>54.88</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3.4420000000000006E-3</v>
      </c>
      <c r="AC256" s="94" t="str">
        <f>+F256</f>
        <v>SH1</v>
      </c>
    </row>
    <row r="257" spans="1:29" x14ac:dyDescent="0.2">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x14ac:dyDescent="0.2">
      <c r="A258" s="96"/>
      <c r="B258" s="103">
        <f>IF(AND('AES Indiana Bill Calc.'!$D$17="SH",'AES Indiana Bill Calc.'!$D$18="Yes 25%",'AES Indiana Bill Calc.'!$D$20="Yes 2021"),'AES Indiana Bill Calc.'!$D$19,-1)</f>
        <v>-1</v>
      </c>
      <c r="C258" s="1" t="s">
        <v>150</v>
      </c>
      <c r="F258" s="36" t="s">
        <v>179</v>
      </c>
      <c r="G258" s="17">
        <f>SUM(J258:M258,O258:P258,R258:AA258)</f>
        <v>54.88</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3.4420000000000006E-3</v>
      </c>
      <c r="AC258" s="94" t="str">
        <f>+F258</f>
        <v>SH1</v>
      </c>
    </row>
    <row r="259" spans="1:29" x14ac:dyDescent="0.2">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x14ac:dyDescent="0.2">
      <c r="A260" s="96"/>
      <c r="B260" s="103">
        <f>IF(AND('AES Indiana Bill Calc.'!$D$17="SH",'AES Indiana Bill Calc.'!$D$18="Yes 10%",'AES Indiana Bill Calc.'!$D$20="Yes 2021"),'AES Indiana Bill Calc.'!$D$19,-1)</f>
        <v>-1</v>
      </c>
      <c r="C260" s="1" t="s">
        <v>164</v>
      </c>
      <c r="F260" s="36" t="s">
        <v>179</v>
      </c>
      <c r="G260" s="17">
        <f>SUM(J260:M260,O260:P260,R260:AA260)</f>
        <v>54.88</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3.4420000000000006E-3</v>
      </c>
      <c r="AC260" s="94" t="str">
        <f>+F260</f>
        <v>SH1</v>
      </c>
    </row>
    <row r="261" spans="1:29" x14ac:dyDescent="0.2">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x14ac:dyDescent="0.2">
      <c r="A262" s="96"/>
      <c r="B262" s="103">
        <f>IF(AND('AES Indiana Bill Calc.'!$D$17="SH",'AES Indiana Bill Calc.'!$D$18="No",'AES Indiana Bill Calc.'!$D$20="Yes 2021"),'AES Indiana Bill Calc.'!$D$19,-1)</f>
        <v>-1</v>
      </c>
      <c r="C262" s="1" t="s">
        <v>147</v>
      </c>
      <c r="F262" s="36" t="s">
        <v>179</v>
      </c>
      <c r="G262" s="17">
        <f>SUM(J262:M262,O262:P262,R262:AA262)</f>
        <v>54.88</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3.4420000000000006E-3</v>
      </c>
      <c r="AC262" s="94" t="str">
        <f>+F262</f>
        <v>SH1</v>
      </c>
    </row>
    <row r="263" spans="1:29" x14ac:dyDescent="0.2">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x14ac:dyDescent="0.2">
      <c r="A264" s="96"/>
      <c r="B264" s="103">
        <f>IF(AND('AES Indiana Bill Calc.'!$D$17="SH",'AES Indiana Bill Calc.'!$D$18="Yes 100%",'AES Indiana Bill Calc.'!$D$20="Yes 2022"),'AES Indiana Bill Calc.'!$D$19,-1)</f>
        <v>-1</v>
      </c>
      <c r="C264" s="1" t="s">
        <v>148</v>
      </c>
      <c r="F264" s="36" t="s">
        <v>180</v>
      </c>
      <c r="G264" s="17">
        <f>SUM(J264:M264,O264:P264,R264:AA264)</f>
        <v>54.88</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3.4420000000000006E-3</v>
      </c>
      <c r="AC264" s="94" t="str">
        <f>+F264</f>
        <v>SH2</v>
      </c>
    </row>
    <row r="265" spans="1:29" x14ac:dyDescent="0.2">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x14ac:dyDescent="0.2">
      <c r="A266" s="96"/>
      <c r="B266" s="103">
        <f>IF(AND('AES Indiana Bill Calc.'!$D$17="SH",'AES Indiana Bill Calc.'!$D$18="Yes 50%",'AES Indiana Bill Calc.'!$D$20="Yes 2022"),'AES Indiana Bill Calc.'!$D$19,-1)</f>
        <v>-1</v>
      </c>
      <c r="C266" s="1" t="s">
        <v>149</v>
      </c>
      <c r="F266" s="36" t="s">
        <v>180</v>
      </c>
      <c r="G266" s="17">
        <f>SUM(J266:M266,O266:P266,R266:AA266)</f>
        <v>54.88</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3.4420000000000006E-3</v>
      </c>
      <c r="AC266" s="94" t="str">
        <f>+F266</f>
        <v>SH2</v>
      </c>
    </row>
    <row r="267" spans="1:29" x14ac:dyDescent="0.2">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x14ac:dyDescent="0.2">
      <c r="A268" s="96"/>
      <c r="B268" s="103">
        <f>IF(AND('AES Indiana Bill Calc.'!$D$17="SH",'AES Indiana Bill Calc.'!$D$18="Yes 25%",'AES Indiana Bill Calc.'!$D$20="Yes 2022"),'AES Indiana Bill Calc.'!$D$19,-1)</f>
        <v>-1</v>
      </c>
      <c r="C268" s="1" t="s">
        <v>150</v>
      </c>
      <c r="F268" s="36" t="s">
        <v>180</v>
      </c>
      <c r="G268" s="17">
        <f>SUM(J268:M268,O268:P268,R268:AA268)</f>
        <v>54.88</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3.4420000000000006E-3</v>
      </c>
      <c r="AC268" s="94" t="str">
        <f>+F268</f>
        <v>SH2</v>
      </c>
    </row>
    <row r="269" spans="1:29" x14ac:dyDescent="0.2">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x14ac:dyDescent="0.2">
      <c r="A270" s="96"/>
      <c r="B270" s="103">
        <f>IF(AND('AES Indiana Bill Calc.'!$D$17="SH",'AES Indiana Bill Calc.'!$D$18="Yes 10%",'AES Indiana Bill Calc.'!$D$20="Yes 2022"),'AES Indiana Bill Calc.'!$D$19,-1)</f>
        <v>-1</v>
      </c>
      <c r="C270" s="1" t="s">
        <v>164</v>
      </c>
      <c r="F270" s="36" t="s">
        <v>180</v>
      </c>
      <c r="G270" s="17">
        <f>SUM(J270:M270,O270:P270,R270:AA270)</f>
        <v>54.88</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3.4420000000000006E-3</v>
      </c>
      <c r="AC270" s="94" t="str">
        <f>+F270</f>
        <v>SH2</v>
      </c>
    </row>
    <row r="271" spans="1:29" x14ac:dyDescent="0.2">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x14ac:dyDescent="0.2">
      <c r="A272" s="96"/>
      <c r="B272" s="103">
        <f>IF(AND('AES Indiana Bill Calc.'!$D$17="SH",'AES Indiana Bill Calc.'!$D$18="No",'AES Indiana Bill Calc.'!$D$20="Yes 2022"),'AES Indiana Bill Calc.'!$D$19,-1)</f>
        <v>-1</v>
      </c>
      <c r="C272" s="1" t="s">
        <v>147</v>
      </c>
      <c r="F272" s="36" t="s">
        <v>180</v>
      </c>
      <c r="G272" s="17">
        <f>SUM(J272:M272,O272:P272,R272:AA272)</f>
        <v>54.88</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3.4420000000000006E-3</v>
      </c>
      <c r="AC272" s="94" t="str">
        <f>+F272</f>
        <v>SH2</v>
      </c>
    </row>
    <row r="273" spans="1:29" x14ac:dyDescent="0.2">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x14ac:dyDescent="0.2">
      <c r="A274" s="96"/>
      <c r="B274" s="103">
        <f>IF(AND('AES Indiana Bill Calc.'!$D$17="SH",'AES Indiana Bill Calc.'!$D$18="Yes 100%",'AES Indiana Bill Calc.'!$D$20="Yes 2023"),'AES Indiana Bill Calc.'!$D$19,-1)</f>
        <v>-1</v>
      </c>
      <c r="C274" s="1" t="s">
        <v>148</v>
      </c>
      <c r="F274" s="36" t="s">
        <v>181</v>
      </c>
      <c r="G274" s="17">
        <f>SUM(J274:M274,O274:P274,R274:AA274)</f>
        <v>54.88</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3.4420000000000006E-3</v>
      </c>
      <c r="AC274" s="94" t="str">
        <f>+F274</f>
        <v>SH3</v>
      </c>
    </row>
    <row r="275" spans="1:29" x14ac:dyDescent="0.2">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x14ac:dyDescent="0.2">
      <c r="A276" s="96"/>
      <c r="B276" s="103">
        <f>IF(AND('AES Indiana Bill Calc.'!$D$17="SH",'AES Indiana Bill Calc.'!$D$18="Yes 50%",'AES Indiana Bill Calc.'!$D$20="Yes 2023"),'AES Indiana Bill Calc.'!$D$19,-1)</f>
        <v>-1</v>
      </c>
      <c r="C276" s="1" t="s">
        <v>149</v>
      </c>
      <c r="F276" s="36" t="s">
        <v>181</v>
      </c>
      <c r="G276" s="17">
        <f>SUM(J276:M276,O276:P276,R276:AA276)</f>
        <v>54.88</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3.4420000000000006E-3</v>
      </c>
      <c r="AC276" s="94" t="str">
        <f>+F276</f>
        <v>SH3</v>
      </c>
    </row>
    <row r="277" spans="1:29" x14ac:dyDescent="0.2">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x14ac:dyDescent="0.2">
      <c r="A278" s="96"/>
      <c r="B278" s="103">
        <f>IF(AND('AES Indiana Bill Calc.'!$D$17="SH",'AES Indiana Bill Calc.'!$D$18="Yes 25%",'AES Indiana Bill Calc.'!$D$20="Yes 2023"),'AES Indiana Bill Calc.'!$D$19,-1)</f>
        <v>-1</v>
      </c>
      <c r="C278" s="1" t="s">
        <v>150</v>
      </c>
      <c r="F278" s="36" t="s">
        <v>181</v>
      </c>
      <c r="G278" s="17">
        <f>SUM(J278:M278,O278:P278,R278:AA278)</f>
        <v>54.88</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3.4420000000000006E-3</v>
      </c>
      <c r="AC278" s="94" t="str">
        <f>+F278</f>
        <v>SH3</v>
      </c>
    </row>
    <row r="279" spans="1:29" x14ac:dyDescent="0.2">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x14ac:dyDescent="0.2">
      <c r="A280" s="96"/>
      <c r="B280" s="103">
        <f>IF(AND('AES Indiana Bill Calc.'!$D$17="SH",'AES Indiana Bill Calc.'!$D$18="Yes 10%",'AES Indiana Bill Calc.'!$D$20="Yes 2023"),'AES Indiana Bill Calc.'!$D$19,-1)</f>
        <v>-1</v>
      </c>
      <c r="C280" s="1" t="s">
        <v>164</v>
      </c>
      <c r="F280" s="36" t="s">
        <v>181</v>
      </c>
      <c r="G280" s="17">
        <f>SUM(J280:M280,O280:P280,R280:AA280)</f>
        <v>54.88</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3.4420000000000006E-3</v>
      </c>
      <c r="AC280" s="94" t="str">
        <f>+F280</f>
        <v>SH3</v>
      </c>
    </row>
    <row r="281" spans="1:29" x14ac:dyDescent="0.2">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x14ac:dyDescent="0.2">
      <c r="A282" s="96"/>
      <c r="B282" s="103">
        <f>IF(AND('AES Indiana Bill Calc.'!$D$17="SH",'AES Indiana Bill Calc.'!$D$18="No",'AES Indiana Bill Calc.'!$D$20="Yes 2023"),'AES Indiana Bill Calc.'!$D$19,-1)</f>
        <v>-1</v>
      </c>
      <c r="C282" s="1" t="s">
        <v>147</v>
      </c>
      <c r="F282" s="36" t="s">
        <v>181</v>
      </c>
      <c r="G282" s="17">
        <f>SUM(J282:M282,O282:P282,R282:AA282)</f>
        <v>54.88</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3.4420000000000006E-3</v>
      </c>
      <c r="AC282" s="94" t="str">
        <f>+F282</f>
        <v>SH3</v>
      </c>
    </row>
    <row r="283" spans="1:29" x14ac:dyDescent="0.2">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x14ac:dyDescent="0.2">
      <c r="A284" s="96"/>
      <c r="B284" s="103">
        <f>IF(AND('AES Indiana Bill Calc.'!$D$17="SH",'AES Indiana Bill Calc.'!$D$18="Yes 100%",'AES Indiana Bill Calc.'!$D$20="Yes 2024"),'AES Indiana Bill Calc.'!$D$19,-1)</f>
        <v>-1</v>
      </c>
      <c r="C284" s="1" t="s">
        <v>148</v>
      </c>
      <c r="F284" s="36" t="s">
        <v>308</v>
      </c>
      <c r="G284" s="17">
        <f>SUM(J284:M284,O284:P284,R284:AA284)</f>
        <v>54.88</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3.4420000000000006E-3</v>
      </c>
      <c r="AC284" s="94" t="str">
        <f>+F284</f>
        <v>SH4</v>
      </c>
    </row>
    <row r="285" spans="1:29" x14ac:dyDescent="0.2">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x14ac:dyDescent="0.2">
      <c r="A286" s="96"/>
      <c r="B286" s="103">
        <f>IF(AND('AES Indiana Bill Calc.'!$D$17="SH",'AES Indiana Bill Calc.'!$D$18="Yes 50%",'AES Indiana Bill Calc.'!$D$20="Yes 2024"),'AES Indiana Bill Calc.'!$D$19,-1)</f>
        <v>-1</v>
      </c>
      <c r="C286" s="1" t="s">
        <v>149</v>
      </c>
      <c r="F286" s="36" t="s">
        <v>308</v>
      </c>
      <c r="G286" s="17">
        <f>SUM(J286:M286,O286:P286,R286:AA286)</f>
        <v>54.88</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3.4420000000000006E-3</v>
      </c>
      <c r="AC286" s="94" t="str">
        <f>+F286</f>
        <v>SH4</v>
      </c>
    </row>
    <row r="287" spans="1:29" x14ac:dyDescent="0.2">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x14ac:dyDescent="0.2">
      <c r="A288" s="96"/>
      <c r="B288" s="103">
        <f>IF(AND('AES Indiana Bill Calc.'!$D$17="SH",'AES Indiana Bill Calc.'!$D$18="Yes 25%",'AES Indiana Bill Calc.'!$D$20="Yes 2024"),'AES Indiana Bill Calc.'!$D$19,-1)</f>
        <v>-1</v>
      </c>
      <c r="C288" s="1" t="s">
        <v>150</v>
      </c>
      <c r="F288" s="36" t="s">
        <v>308</v>
      </c>
      <c r="G288" s="17">
        <f>SUM(J288:M288,O288:P288,R288:AA288)</f>
        <v>54.88</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3.4420000000000006E-3</v>
      </c>
      <c r="AC288" s="94" t="str">
        <f>+F288</f>
        <v>SH4</v>
      </c>
    </row>
    <row r="289" spans="1:29" x14ac:dyDescent="0.2">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x14ac:dyDescent="0.2">
      <c r="A290" s="96"/>
      <c r="B290" s="103">
        <f>IF(AND('AES Indiana Bill Calc.'!$D$17="SH",'AES Indiana Bill Calc.'!$D$18="Yes 10%",'AES Indiana Bill Calc.'!$D$20="Yes 2024"),'AES Indiana Bill Calc.'!$D$19,-1)</f>
        <v>-1</v>
      </c>
      <c r="C290" s="1" t="s">
        <v>164</v>
      </c>
      <c r="F290" s="36" t="s">
        <v>308</v>
      </c>
      <c r="G290" s="17">
        <f>SUM(J290:M290,O290:P290,R290:AA290)</f>
        <v>54.88</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3.4420000000000006E-3</v>
      </c>
      <c r="AC290" s="94" t="str">
        <f>+F290</f>
        <v>SH4</v>
      </c>
    </row>
    <row r="291" spans="1:29" x14ac:dyDescent="0.2">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x14ac:dyDescent="0.2">
      <c r="A292" s="96"/>
      <c r="B292" s="103">
        <f>IF(AND('AES Indiana Bill Calc.'!$D$17="SH",'AES Indiana Bill Calc.'!$D$18="No",'AES Indiana Bill Calc.'!$D$20="Yes 2024"),'AES Indiana Bill Calc.'!$D$19,-1)</f>
        <v>-1</v>
      </c>
      <c r="C292" s="1" t="s">
        <v>147</v>
      </c>
      <c r="F292" s="36" t="s">
        <v>308</v>
      </c>
      <c r="G292" s="17">
        <f>SUM(J292:M292,O292:P292,R292:AA292)</f>
        <v>54.88</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3.4420000000000006E-3</v>
      </c>
      <c r="AC292" s="94" t="str">
        <f>+F292</f>
        <v>SH4</v>
      </c>
    </row>
    <row r="293" spans="1:29" x14ac:dyDescent="0.2">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x14ac:dyDescent="0.2">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3.0000000000000001E-3</v>
      </c>
      <c r="T305" s="27">
        <f t="shared" ref="T305:AA305" si="22">+R$4</f>
        <v>-3.4320000000000002E-3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-4.5600000000000003E-4</v>
      </c>
      <c r="AB305" s="19">
        <f>SUM(U305:Z305)</f>
        <v>1.0548E-2</v>
      </c>
    </row>
    <row r="306" spans="1:29" x14ac:dyDescent="0.2">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
      <c r="B307" s="103">
        <v>-1</v>
      </c>
      <c r="C307" s="33" t="s">
        <v>127</v>
      </c>
      <c r="D307" s="33" t="s">
        <v>127</v>
      </c>
      <c r="F307" s="12"/>
      <c r="I307" s="19"/>
      <c r="J307" s="12" t="s">
        <v>137</v>
      </c>
      <c r="K307" s="204" t="s">
        <v>28</v>
      </c>
      <c r="L307" s="204"/>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x14ac:dyDescent="0.2">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54.99</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v>
      </c>
      <c r="U310" s="17">
        <f t="shared" si="23"/>
        <v>0</v>
      </c>
      <c r="V310" s="17">
        <f t="shared" si="23"/>
        <v>-0.01</v>
      </c>
      <c r="W310" s="17">
        <f t="shared" si="23"/>
        <v>0</v>
      </c>
      <c r="X310" s="17">
        <f t="shared" si="23"/>
        <v>0</v>
      </c>
      <c r="Y310" s="17">
        <f t="shared" si="23"/>
        <v>0</v>
      </c>
      <c r="Z310" s="17">
        <f t="shared" si="23"/>
        <v>0</v>
      </c>
      <c r="AA310" s="17">
        <f t="shared" si="23"/>
        <v>0</v>
      </c>
      <c r="AB310" s="19">
        <f>SUM(U305:AA305)</f>
        <v>1.0092E-2</v>
      </c>
      <c r="AC310" s="67" t="str">
        <f>+F310</f>
        <v>SE</v>
      </c>
    </row>
    <row r="311" spans="1:29" x14ac:dyDescent="0.2">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x14ac:dyDescent="0.2">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54.99</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x14ac:dyDescent="0.2">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54.99</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x14ac:dyDescent="0.2">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54.99</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x14ac:dyDescent="0.2">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54.99</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x14ac:dyDescent="0.2">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x14ac:dyDescent="0.2">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x14ac:dyDescent="0.2">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x14ac:dyDescent="0.2">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x14ac:dyDescent="0.2">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x14ac:dyDescent="0.2">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x14ac:dyDescent="0.2">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x14ac:dyDescent="0.2">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x14ac:dyDescent="0.2">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x14ac:dyDescent="0.2">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x14ac:dyDescent="0.2">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x14ac:dyDescent="0.2">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x14ac:dyDescent="0.2">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x14ac:dyDescent="0.2">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x14ac:dyDescent="0.2">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x14ac:dyDescent="0.2">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x14ac:dyDescent="0.2">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x14ac:dyDescent="0.2">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x14ac:dyDescent="0.2">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x14ac:dyDescent="0.2">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x14ac:dyDescent="0.2">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x14ac:dyDescent="0.2">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x14ac:dyDescent="0.2">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x14ac:dyDescent="0.2">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x14ac:dyDescent="0.2">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x14ac:dyDescent="0.2">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x14ac:dyDescent="0.2">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x14ac:dyDescent="0.2">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x14ac:dyDescent="0.2">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x14ac:dyDescent="0.2">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x14ac:dyDescent="0.2">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x14ac:dyDescent="0.2">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x14ac:dyDescent="0.2">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x14ac:dyDescent="0.2">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x14ac:dyDescent="0.2">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x14ac:dyDescent="0.2">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x14ac:dyDescent="0.2">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x14ac:dyDescent="0.2">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x14ac:dyDescent="0.2">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x14ac:dyDescent="0.2">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x14ac:dyDescent="0.2">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x14ac:dyDescent="0.2">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x14ac:dyDescent="0.2">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
      <c r="B402" s="103">
        <v>-1</v>
      </c>
      <c r="C402" s="4"/>
      <c r="I402" s="19"/>
      <c r="J402" s="161">
        <v>20</v>
      </c>
      <c r="K402" s="162">
        <v>7.6942999999999998E-2</v>
      </c>
      <c r="L402" s="5"/>
      <c r="M402" s="5"/>
      <c r="N402" s="5"/>
      <c r="O402" s="5"/>
      <c r="P402" s="5"/>
      <c r="Q402" s="5"/>
      <c r="R402" s="5"/>
      <c r="S402" s="27">
        <f>+M$3</f>
        <v>3.0000000000000001E-3</v>
      </c>
      <c r="T402" s="27">
        <f t="shared" ref="T402:AA402" si="28">+R$3</f>
        <v>-3.4320000000000002E-3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-4.7699999999999999E-4</v>
      </c>
      <c r="AB402" s="19">
        <f>SUM(U402:Z402)</f>
        <v>7.9680000000000011E-3</v>
      </c>
    </row>
    <row r="403" spans="1:29" x14ac:dyDescent="0.2">
      <c r="A403" s="1"/>
      <c r="B403" s="103">
        <v>-1</v>
      </c>
      <c r="I403" s="19"/>
      <c r="J403" s="76"/>
      <c r="K403" s="77">
        <v>999999</v>
      </c>
    </row>
    <row r="404" spans="1:29" x14ac:dyDescent="0.2">
      <c r="B404" s="103">
        <v>-1</v>
      </c>
      <c r="F404" s="12"/>
      <c r="I404" s="19"/>
      <c r="J404" s="12" t="s">
        <v>137</v>
      </c>
      <c r="K404" s="204" t="s">
        <v>28</v>
      </c>
      <c r="L404" s="204"/>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x14ac:dyDescent="0.2">
      <c r="A407" s="1" t="s">
        <v>148</v>
      </c>
      <c r="B407" s="103">
        <f>IF(AND('AES Indiana Bill Calc.'!$D$17="CR",'AES Indiana Bill Calc.'!$D$18="Yes 100%"),'AES Indiana Bill Calc.'!$D$19,-1)</f>
        <v>-1</v>
      </c>
      <c r="C407" s="9"/>
      <c r="F407" s="36" t="s">
        <v>58</v>
      </c>
      <c r="G407" s="17">
        <f>SUM(J407:M407,O407:P407,R407:AA407)</f>
        <v>19.920000000000002</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v>
      </c>
      <c r="U407" s="17">
        <f t="shared" si="29"/>
        <v>0</v>
      </c>
      <c r="V407" s="17">
        <f t="shared" si="29"/>
        <v>0</v>
      </c>
      <c r="W407" s="17">
        <f t="shared" si="29"/>
        <v>0</v>
      </c>
      <c r="X407" s="17">
        <f t="shared" si="29"/>
        <v>0</v>
      </c>
      <c r="Y407" s="17">
        <f t="shared" si="29"/>
        <v>0</v>
      </c>
      <c r="Z407" s="17">
        <f t="shared" si="29"/>
        <v>0</v>
      </c>
      <c r="AA407" s="17">
        <f t="shared" si="29"/>
        <v>0</v>
      </c>
      <c r="AB407" s="19">
        <f>SUM(U402:AA402)</f>
        <v>7.4910000000000011E-3</v>
      </c>
      <c r="AC407" s="67" t="str">
        <f>+F407</f>
        <v>CR</v>
      </c>
    </row>
    <row r="408" spans="1:29" x14ac:dyDescent="0.2">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x14ac:dyDescent="0.2">
      <c r="A409" s="1" t="s">
        <v>149</v>
      </c>
      <c r="B409" s="103">
        <f>IF(AND('AES Indiana Bill Calc.'!$D$17="CR",'AES Indiana Bill Calc.'!$D$18="Yes 50%"),'AES Indiana Bill Calc.'!$D$19,-1)</f>
        <v>-1</v>
      </c>
      <c r="C409" s="9"/>
      <c r="F409" s="36" t="s">
        <v>58</v>
      </c>
      <c r="G409" s="17">
        <f>SUM(J409:M409,O409:P409,R409:AA409)</f>
        <v>19.920000000000002</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x14ac:dyDescent="0.2">
      <c r="A411" s="1" t="s">
        <v>150</v>
      </c>
      <c r="B411" s="103">
        <f>IF(AND('AES Indiana Bill Calc.'!$D$17="CR",'AES Indiana Bill Calc.'!$D$18="Yes 25%"),'AES Indiana Bill Calc.'!$D$19,-1)</f>
        <v>-1</v>
      </c>
      <c r="C411" s="9"/>
      <c r="F411" s="36" t="s">
        <v>58</v>
      </c>
      <c r="G411" s="17">
        <f>SUM(J411:M411,O411:P411,R411:AA411)</f>
        <v>19.920000000000002</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x14ac:dyDescent="0.2">
      <c r="A413" s="1" t="s">
        <v>164</v>
      </c>
      <c r="B413" s="103">
        <f>IF(AND('AES Indiana Bill Calc.'!$D$17="CR",'AES Indiana Bill Calc.'!$D$18="Yes 10%"),'AES Indiana Bill Calc.'!$D$19,-1)</f>
        <v>-1</v>
      </c>
      <c r="C413" s="9"/>
      <c r="F413" s="36" t="s">
        <v>58</v>
      </c>
      <c r="G413" s="17">
        <f>SUM(J413:M413,O413:P413,R413:AA413)</f>
        <v>19.920000000000002</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x14ac:dyDescent="0.2">
      <c r="A415" s="1" t="s">
        <v>147</v>
      </c>
      <c r="B415" s="103">
        <f>IF(AND('AES Indiana Bill Calc.'!$D$17="CR",'AES Indiana Bill Calc.'!$D$18="No"),'AES Indiana Bill Calc.'!$D$19,-1)</f>
        <v>-1</v>
      </c>
      <c r="C415" s="9"/>
      <c r="F415" s="36" t="s">
        <v>58</v>
      </c>
      <c r="G415" s="17">
        <f>SUM(J415:M415,O415:P415,R415:AA415)</f>
        <v>19.920000000000002</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x14ac:dyDescent="0.2">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
      <c r="B420" s="103">
        <v>-1</v>
      </c>
      <c r="C420" s="4"/>
      <c r="I420" s="19"/>
      <c r="J420" s="161">
        <f>J402</f>
        <v>20</v>
      </c>
      <c r="K420" s="162">
        <f>K402</f>
        <v>7.6942999999999998E-2</v>
      </c>
      <c r="L420" s="5">
        <v>0</v>
      </c>
      <c r="M420" s="5"/>
      <c r="N420" s="5"/>
      <c r="O420" s="5"/>
      <c r="P420" s="5"/>
      <c r="Q420" s="5"/>
      <c r="R420" s="5"/>
      <c r="S420" s="27">
        <f>+M$4</f>
        <v>3.0000000000000001E-3</v>
      </c>
      <c r="T420" s="27">
        <f t="shared" ref="T420:AA420" si="30">+R$4</f>
        <v>-3.4320000000000002E-3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-4.5600000000000003E-4</v>
      </c>
      <c r="AB420" s="19">
        <f>SUM(U420:Z420)</f>
        <v>1.0548E-2</v>
      </c>
    </row>
    <row r="421" spans="1:29" x14ac:dyDescent="0.2">
      <c r="A421" s="1"/>
      <c r="B421" s="103">
        <v>-1</v>
      </c>
      <c r="C421" s="37"/>
      <c r="I421" s="19"/>
      <c r="J421" s="72"/>
      <c r="K421" s="73">
        <v>999999</v>
      </c>
    </row>
    <row r="422" spans="1:29" x14ac:dyDescent="0.2">
      <c r="B422" s="103">
        <v>-1</v>
      </c>
      <c r="F422" s="12"/>
      <c r="I422" s="19"/>
      <c r="J422" s="12" t="s">
        <v>137</v>
      </c>
      <c r="K422" s="204" t="s">
        <v>28</v>
      </c>
      <c r="L422" s="204"/>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x14ac:dyDescent="0.2">
      <c r="A425" s="53"/>
      <c r="B425" s="103">
        <f>IF(AND('AES Indiana Bill Calc.'!$D$17="CB",'AES Indiana Bill Calc.'!$D$18="Yes 100%"),'AES Indiana Bill Calc.'!$D$19,-1)</f>
        <v>-1</v>
      </c>
      <c r="C425" s="1" t="s">
        <v>148</v>
      </c>
      <c r="F425" s="36" t="s">
        <v>59</v>
      </c>
      <c r="G425" s="17">
        <f>SUM(J425:M425,O425:P425,R425:AA425)</f>
        <v>19.91</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v>
      </c>
      <c r="U425" s="17">
        <f t="shared" si="31"/>
        <v>0</v>
      </c>
      <c r="V425" s="17">
        <f t="shared" si="31"/>
        <v>-0.01</v>
      </c>
      <c r="W425" s="17">
        <f t="shared" si="31"/>
        <v>0</v>
      </c>
      <c r="X425" s="17">
        <f t="shared" si="31"/>
        <v>0</v>
      </c>
      <c r="Y425" s="17">
        <f t="shared" si="31"/>
        <v>0</v>
      </c>
      <c r="Z425" s="17">
        <f t="shared" si="31"/>
        <v>0</v>
      </c>
      <c r="AA425" s="17">
        <f t="shared" si="31"/>
        <v>0</v>
      </c>
      <c r="AB425" s="19">
        <f>SUM(U420:AA420)</f>
        <v>1.0092E-2</v>
      </c>
      <c r="AC425" s="67" t="str">
        <f>+F425</f>
        <v>CB</v>
      </c>
    </row>
    <row r="426" spans="1:29" x14ac:dyDescent="0.2">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x14ac:dyDescent="0.2">
      <c r="A427" s="53"/>
      <c r="B427" s="103">
        <f>IF(AND('AES Indiana Bill Calc.'!$D$17="CB",'AES Indiana Bill Calc.'!$D$18="Yes 50%"),'AES Indiana Bill Calc.'!$D$19,-1)</f>
        <v>-1</v>
      </c>
      <c r="C427" s="1" t="s">
        <v>149</v>
      </c>
      <c r="F427" s="36" t="s">
        <v>59</v>
      </c>
      <c r="G427" s="17">
        <f>SUM(J427:M427,O427:P427,R427:AA427)</f>
        <v>19.91</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x14ac:dyDescent="0.2">
      <c r="A429" s="53"/>
      <c r="B429" s="103">
        <f>IF(AND('AES Indiana Bill Calc.'!$D$17="CB",'AES Indiana Bill Calc.'!$D$18="Yes 25%"),'AES Indiana Bill Calc.'!$D$19,-1)</f>
        <v>-1</v>
      </c>
      <c r="C429" s="1" t="s">
        <v>150</v>
      </c>
      <c r="F429" s="36" t="s">
        <v>59</v>
      </c>
      <c r="G429" s="17">
        <f>SUM(J429:M429,O429:P429,R429:AA429)</f>
        <v>19.91</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x14ac:dyDescent="0.2">
      <c r="A431" s="53"/>
      <c r="B431" s="103">
        <f>IF(AND('AES Indiana Bill Calc.'!$D$17="CB",'AES Indiana Bill Calc.'!$D$18="Yes 10%"),'AES Indiana Bill Calc.'!$D$19,-1)</f>
        <v>-1</v>
      </c>
      <c r="C431" s="1" t="s">
        <v>164</v>
      </c>
      <c r="F431" s="36" t="s">
        <v>59</v>
      </c>
      <c r="G431" s="17">
        <f>SUM(J431:M431,O431:P431,R431:AA431)</f>
        <v>19.91</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x14ac:dyDescent="0.2">
      <c r="A433" s="53"/>
      <c r="B433" s="103">
        <f>IF(AND('AES Indiana Bill Calc.'!$D$17="CB",'AES Indiana Bill Calc.'!$D$18="No"),'AES Indiana Bill Calc.'!$D$19,-1)</f>
        <v>-1</v>
      </c>
      <c r="C433" s="1" t="s">
        <v>147</v>
      </c>
      <c r="F433" s="36" t="s">
        <v>59</v>
      </c>
      <c r="G433" s="17">
        <f>SUM(J433:M433,O433:P433,R433:AA433)</f>
        <v>19.91</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3">
        <v>-1</v>
      </c>
      <c r="C436" s="4"/>
      <c r="I436" s="19"/>
      <c r="J436" s="161">
        <v>40</v>
      </c>
      <c r="K436" s="162">
        <v>8.9470999999999995E-2</v>
      </c>
      <c r="L436" s="5">
        <v>0</v>
      </c>
      <c r="M436" s="5"/>
      <c r="N436" s="5"/>
      <c r="O436" s="5"/>
      <c r="P436" s="5"/>
      <c r="Q436" s="5"/>
      <c r="R436" s="5"/>
      <c r="S436" s="27">
        <f>+M$4</f>
        <v>3.0000000000000001E-3</v>
      </c>
      <c r="T436" s="27">
        <f t="shared" ref="T436:AA436" si="32">+R$4</f>
        <v>-3.4320000000000002E-3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-4.5600000000000003E-4</v>
      </c>
      <c r="AB436" s="19">
        <f>SUM(U436:Z436)</f>
        <v>1.0917999999999999E-2</v>
      </c>
    </row>
    <row r="437" spans="1:29" x14ac:dyDescent="0.2">
      <c r="A437" s="1"/>
      <c r="B437" s="103">
        <v>-1</v>
      </c>
      <c r="C437" s="37"/>
      <c r="I437" s="19"/>
      <c r="J437" s="72"/>
      <c r="K437" s="73">
        <v>999999</v>
      </c>
    </row>
    <row r="438" spans="1:29" x14ac:dyDescent="0.2">
      <c r="B438" s="103">
        <v>-1</v>
      </c>
      <c r="F438" s="12"/>
      <c r="I438" s="19"/>
      <c r="J438" s="12" t="s">
        <v>137</v>
      </c>
      <c r="K438" s="204" t="s">
        <v>28</v>
      </c>
      <c r="L438" s="204"/>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53"/>
      <c r="B441" s="103">
        <f>IF(AND('AES Indiana Bill Calc.'!$D$17="UW",'AES Indiana Bill Calc.'!$D$18="Yes 100%"),'AES Indiana Bill Calc.'!$D$19,-1)</f>
        <v>-1</v>
      </c>
      <c r="C441" s="1" t="s">
        <v>148</v>
      </c>
      <c r="F441" s="36" t="s">
        <v>60</v>
      </c>
      <c r="G441" s="17">
        <f>SUM(J441:M441,O441:P441,R441:AA441)</f>
        <v>39.9</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v>
      </c>
      <c r="U441" s="17">
        <f t="shared" si="33"/>
        <v>0</v>
      </c>
      <c r="V441" s="17">
        <f t="shared" si="33"/>
        <v>-0.01</v>
      </c>
      <c r="W441" s="17">
        <f t="shared" si="33"/>
        <v>0</v>
      </c>
      <c r="X441" s="17">
        <f t="shared" si="33"/>
        <v>0</v>
      </c>
      <c r="Y441" s="17">
        <f t="shared" si="33"/>
        <v>0</v>
      </c>
      <c r="Z441" s="17">
        <f t="shared" si="33"/>
        <v>0</v>
      </c>
      <c r="AA441" s="17">
        <f t="shared" si="33"/>
        <v>0</v>
      </c>
      <c r="AB441" s="19">
        <f>SUM(U436:AA436)</f>
        <v>1.0461999999999999E-2</v>
      </c>
      <c r="AC441" s="67" t="str">
        <f>+F441</f>
        <v>UW</v>
      </c>
    </row>
    <row r="442" spans="1:29" x14ac:dyDescent="0.2">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53"/>
      <c r="B443" s="103">
        <f>IF(AND('AES Indiana Bill Calc.'!$D$17="UW",'AES Indiana Bill Calc.'!$D$18="Yes 50%"),'AES Indiana Bill Calc.'!$D$19,-1)</f>
        <v>-1</v>
      </c>
      <c r="C443" s="1" t="s">
        <v>149</v>
      </c>
      <c r="F443" s="36" t="s">
        <v>60</v>
      </c>
      <c r="G443" s="17">
        <f>SUM(J443:M443,O443:P443,R443:AA443)</f>
        <v>39.9</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53"/>
      <c r="B445" s="103">
        <f>IF(AND('AES Indiana Bill Calc.'!$D$17="UW",'AES Indiana Bill Calc.'!$D$18="Yes 25%"),'AES Indiana Bill Calc.'!$D$19,-1)</f>
        <v>-1</v>
      </c>
      <c r="C445" s="1" t="s">
        <v>150</v>
      </c>
      <c r="F445" s="36" t="s">
        <v>60</v>
      </c>
      <c r="G445" s="17">
        <f>SUM(J445:M445,O445:P445,R445:AA445)</f>
        <v>39.9</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53"/>
      <c r="B447" s="103">
        <f>IF(AND('AES Indiana Bill Calc.'!$D$17="UW",'AES Indiana Bill Calc.'!$D$18="Yes 10%"),'AES Indiana Bill Calc.'!$D$19,-1)</f>
        <v>-1</v>
      </c>
      <c r="C447" s="1" t="s">
        <v>164</v>
      </c>
      <c r="F447" s="36" t="s">
        <v>60</v>
      </c>
      <c r="G447" s="17">
        <f>SUM(J447:M447,O447:P447,R447:AA447)</f>
        <v>39.9</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53"/>
      <c r="B449" s="103">
        <f>IF(AND('AES Indiana Bill Calc.'!$D$17="UW",'AES Indiana Bill Calc.'!$D$18="No"),'AES Indiana Bill Calc.'!$D$19,-1)</f>
        <v>-1</v>
      </c>
      <c r="C449" s="1" t="s">
        <v>147</v>
      </c>
      <c r="F449" s="36" t="s">
        <v>60</v>
      </c>
      <c r="G449" s="17">
        <f>SUM(J449:M449,O449:P449,R449:AA449)</f>
        <v>39.9</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5" thickBot="1" x14ac:dyDescent="0.25">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
      <c r="B452" s="126">
        <v>-1</v>
      </c>
      <c r="L452" t="s">
        <v>193</v>
      </c>
      <c r="M452" t="s">
        <v>193</v>
      </c>
      <c r="S452" s="6"/>
      <c r="T452" s="6"/>
      <c r="U452" s="6"/>
      <c r="V452" s="27">
        <f>+T12</f>
        <v>0</v>
      </c>
      <c r="W452" s="6" t="s">
        <v>154</v>
      </c>
      <c r="X452" s="6"/>
      <c r="Y452" s="6"/>
      <c r="Z452" s="6"/>
      <c r="AA452" s="6"/>
      <c r="AB452" s="19">
        <f>+AB$461-V$461+V451</f>
        <v>2.7919999999999985E-3</v>
      </c>
    </row>
    <row r="453" spans="1:29" x14ac:dyDescent="0.2">
      <c r="B453" s="126">
        <v>-1</v>
      </c>
      <c r="S453" s="6"/>
      <c r="T453" s="6"/>
      <c r="U453" s="6"/>
      <c r="V453" s="27">
        <f>+T14</f>
        <v>0</v>
      </c>
      <c r="W453" s="6" t="s">
        <v>155</v>
      </c>
      <c r="X453" s="6"/>
      <c r="Y453" s="6"/>
      <c r="Z453" s="6"/>
      <c r="AA453" s="6"/>
      <c r="AB453" s="19">
        <f>+AB$461-V$461+V452</f>
        <v>2.7919999999999985E-3</v>
      </c>
    </row>
    <row r="454" spans="1:29" x14ac:dyDescent="0.2">
      <c r="B454" s="126">
        <v>-1</v>
      </c>
      <c r="S454" s="6"/>
      <c r="T454" s="6"/>
      <c r="U454" s="6"/>
      <c r="V454" s="27">
        <f>T16</f>
        <v>-4.3999999999999999E-5</v>
      </c>
      <c r="W454" s="6" t="s">
        <v>156</v>
      </c>
      <c r="X454" s="6"/>
      <c r="Y454" s="6"/>
      <c r="Z454" s="6"/>
      <c r="AA454" s="6"/>
      <c r="AB454" s="19">
        <f>+AB$461-V$461+V453</f>
        <v>2.7919999999999985E-3</v>
      </c>
    </row>
    <row r="455" spans="1:29" x14ac:dyDescent="0.2">
      <c r="B455" s="126">
        <v>-1</v>
      </c>
      <c r="S455" s="6"/>
      <c r="T455" s="6"/>
      <c r="U455" s="6"/>
      <c r="V455" s="27">
        <f>$T$19</f>
        <v>1.15E-4</v>
      </c>
      <c r="W455" s="6" t="s">
        <v>157</v>
      </c>
      <c r="X455" s="6"/>
      <c r="Y455" s="6"/>
      <c r="Z455" s="6"/>
      <c r="AA455" s="6"/>
      <c r="AB455" s="19"/>
    </row>
    <row r="456" spans="1:29" x14ac:dyDescent="0.2">
      <c r="B456" s="126">
        <v>-1</v>
      </c>
      <c r="S456" s="6"/>
      <c r="T456" s="6"/>
      <c r="U456" s="6"/>
      <c r="V456" s="27">
        <f>$T$21</f>
        <v>4.6099999999999998E-4</v>
      </c>
      <c r="W456" s="6" t="s">
        <v>158</v>
      </c>
      <c r="X456" s="6"/>
      <c r="Y456" s="6"/>
      <c r="Z456" s="6"/>
      <c r="AA456" s="6"/>
      <c r="AB456" s="19"/>
    </row>
    <row r="457" spans="1:29" x14ac:dyDescent="0.2">
      <c r="B457" s="126">
        <v>-1</v>
      </c>
      <c r="S457" s="6"/>
      <c r="T457" s="6"/>
      <c r="U457" s="6"/>
      <c r="V457" s="27">
        <f>$T$23</f>
        <v>-8.1300000000000003E-4</v>
      </c>
      <c r="W457" s="6" t="s">
        <v>159</v>
      </c>
      <c r="X457" s="6"/>
      <c r="Y457" s="6"/>
      <c r="Z457" s="6"/>
      <c r="AA457" s="6"/>
      <c r="AB457" s="19"/>
    </row>
    <row r="458" spans="1:29" x14ac:dyDescent="0.2">
      <c r="B458" s="126">
        <v>-1</v>
      </c>
      <c r="S458" s="6"/>
      <c r="T458" s="6"/>
      <c r="U458" s="6"/>
      <c r="V458" s="27">
        <f>$T$25</f>
        <v>0</v>
      </c>
      <c r="W458" s="6" t="s">
        <v>160</v>
      </c>
      <c r="X458" s="6"/>
      <c r="Y458" s="6"/>
      <c r="Z458" s="6"/>
      <c r="AA458" s="6"/>
      <c r="AB458" s="19"/>
    </row>
    <row r="459" spans="1:29" x14ac:dyDescent="0.2">
      <c r="B459" s="126">
        <v>-1</v>
      </c>
      <c r="S459" s="6"/>
      <c r="T459" s="6"/>
      <c r="U459" s="6"/>
      <c r="V459" s="19">
        <f>T27</f>
        <v>0</v>
      </c>
      <c r="W459" s="6" t="s">
        <v>161</v>
      </c>
      <c r="X459" s="6"/>
      <c r="Y459" s="6"/>
      <c r="Z459" s="6"/>
      <c r="AA459" s="6"/>
      <c r="AB459" s="19"/>
    </row>
    <row r="460" spans="1:29" x14ac:dyDescent="0.2">
      <c r="B460" s="126"/>
      <c r="S460" s="6"/>
      <c r="T460" s="6"/>
      <c r="U460" s="6"/>
      <c r="V460" s="19">
        <f>T29</f>
        <v>2.6050000000000001E-3</v>
      </c>
      <c r="W460" s="6" t="s">
        <v>301</v>
      </c>
      <c r="X460" s="6"/>
      <c r="Y460" s="6"/>
      <c r="Z460" s="6"/>
      <c r="AA460" s="6"/>
      <c r="AB460" s="19"/>
    </row>
    <row r="461" spans="1:29" x14ac:dyDescent="0.2">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3.0000000000000001E-3</v>
      </c>
      <c r="T461" s="27">
        <f t="shared" ref="T461:AA461" si="34">+R$5</f>
        <v>-3.4320000000000002E-3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-4.08E-4</v>
      </c>
      <c r="AB461" s="19">
        <f>SUM(U461:Z461)</f>
        <v>8.3159999999999987E-3</v>
      </c>
    </row>
    <row r="462" spans="1:29" x14ac:dyDescent="0.2">
      <c r="A462" s="1"/>
      <c r="B462" s="126">
        <v>-1</v>
      </c>
      <c r="C462" s="73">
        <v>50</v>
      </c>
      <c r="D462" s="70"/>
      <c r="F462" s="70"/>
      <c r="G462" s="70"/>
      <c r="H462" s="70"/>
      <c r="I462" s="70"/>
      <c r="J462" s="70"/>
      <c r="K462" s="70"/>
      <c r="M462" s="73">
        <v>500</v>
      </c>
      <c r="N462" s="73"/>
      <c r="O462" s="70"/>
      <c r="P462" s="70"/>
      <c r="Q462" s="70"/>
      <c r="R462" s="12" t="s">
        <v>195</v>
      </c>
    </row>
    <row r="463" spans="1:29" x14ac:dyDescent="0.2">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x14ac:dyDescent="0.2">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x14ac:dyDescent="0.2">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v>
      </c>
      <c r="U466" s="17">
        <f t="shared" si="35"/>
        <v>0</v>
      </c>
      <c r="V466" s="17">
        <f t="shared" si="35"/>
        <v>-0.01</v>
      </c>
      <c r="W466" s="17">
        <f t="shared" si="35"/>
        <v>0</v>
      </c>
      <c r="X466" s="17">
        <f t="shared" si="35"/>
        <v>0</v>
      </c>
      <c r="Y466" s="17">
        <f t="shared" si="35"/>
        <v>0</v>
      </c>
      <c r="Z466" s="17">
        <f t="shared" si="35"/>
        <v>0</v>
      </c>
      <c r="AA466" s="17">
        <f t="shared" si="35"/>
        <v>0</v>
      </c>
      <c r="AB466" s="19">
        <f>SUM(U461:AA461)</f>
        <v>7.9079999999999984E-3</v>
      </c>
      <c r="AC466" s="67" t="str">
        <f>+F466</f>
        <v>SL</v>
      </c>
    </row>
    <row r="467" spans="1:29" x14ac:dyDescent="0.2">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x14ac:dyDescent="0.2">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x14ac:dyDescent="0.2">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x14ac:dyDescent="0.2">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x14ac:dyDescent="0.2">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x14ac:dyDescent="0.2">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x14ac:dyDescent="0.2">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x14ac:dyDescent="0.2">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x14ac:dyDescent="0.2">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x14ac:dyDescent="0.2">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2.3839999999999981E-3</v>
      </c>
      <c r="AC476" s="94" t="str">
        <f>+F476</f>
        <v>SL7</v>
      </c>
    </row>
    <row r="477" spans="1:29" x14ac:dyDescent="0.2">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x14ac:dyDescent="0.2">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2.4989999999999978E-3</v>
      </c>
      <c r="AC478" s="94" t="str">
        <f>+F478</f>
        <v>SL7</v>
      </c>
    </row>
    <row r="479" spans="1:29" x14ac:dyDescent="0.2">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x14ac:dyDescent="0.2">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1.5709999999999977E-3</v>
      </c>
      <c r="AC480" s="94" t="str">
        <f>+F480</f>
        <v>SL7</v>
      </c>
    </row>
    <row r="481" spans="1:29" x14ac:dyDescent="0.2">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x14ac:dyDescent="0.2">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2.3839999999999981E-3</v>
      </c>
      <c r="AC482" s="94" t="str">
        <f>+F482</f>
        <v>SL7</v>
      </c>
    </row>
    <row r="483" spans="1:29" x14ac:dyDescent="0.2">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x14ac:dyDescent="0.2">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x14ac:dyDescent="0.2">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x14ac:dyDescent="0.2">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2.3839999999999981E-3</v>
      </c>
      <c r="AC486" s="94" t="str">
        <f>+F486</f>
        <v>SL8</v>
      </c>
    </row>
    <row r="487" spans="1:29" x14ac:dyDescent="0.2">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x14ac:dyDescent="0.2">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x14ac:dyDescent="0.2">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x14ac:dyDescent="0.2">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-7.6160000000000012E-3</v>
      </c>
      <c r="AC490" s="94" t="str">
        <f>+F490</f>
        <v>SL8</v>
      </c>
    </row>
    <row r="491" spans="1:29" x14ac:dyDescent="0.2">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x14ac:dyDescent="0.2">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-7.6160000000000012E-3</v>
      </c>
      <c r="AC492" s="94" t="str">
        <f>+F492</f>
        <v>SL8</v>
      </c>
    </row>
    <row r="493" spans="1:29" x14ac:dyDescent="0.2">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x14ac:dyDescent="0.2">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-7.6160000000000012E-3</v>
      </c>
      <c r="AC494" s="94" t="str">
        <f>+F494</f>
        <v>SL8</v>
      </c>
    </row>
    <row r="495" spans="1:29" x14ac:dyDescent="0.2">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x14ac:dyDescent="0.2">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x14ac:dyDescent="0.2">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x14ac:dyDescent="0.2">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-7.6160000000000012E-3</v>
      </c>
      <c r="AC498" s="94" t="str">
        <f>+F498</f>
        <v>SL9</v>
      </c>
    </row>
    <row r="499" spans="1:123" x14ac:dyDescent="0.2">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x14ac:dyDescent="0.2">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-7.6160000000000012E-3</v>
      </c>
      <c r="AC500" s="94" t="str">
        <f>+F500</f>
        <v>SL9</v>
      </c>
    </row>
    <row r="501" spans="1:123" x14ac:dyDescent="0.2">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x14ac:dyDescent="0.2">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-7.6160000000000012E-3</v>
      </c>
      <c r="AC502" s="94" t="str">
        <f>+F502</f>
        <v>SL9</v>
      </c>
    </row>
    <row r="503" spans="1:123" x14ac:dyDescent="0.2">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x14ac:dyDescent="0.2">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-7.6160000000000012E-3</v>
      </c>
      <c r="AC504" s="94" t="str">
        <f>+F504</f>
        <v>SL9</v>
      </c>
    </row>
    <row r="505" spans="1:123" x14ac:dyDescent="0.2">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2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-7.6160000000000012E-3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x14ac:dyDescent="0.2">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x14ac:dyDescent="0.2">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-7.6160000000000012E-3</v>
      </c>
      <c r="AC508" s="94" t="str">
        <f>+F508</f>
        <v>SL0</v>
      </c>
    </row>
    <row r="509" spans="1:123" x14ac:dyDescent="0.2">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x14ac:dyDescent="0.2">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-7.6160000000000012E-3</v>
      </c>
      <c r="AC510" s="94" t="str">
        <f>+F510</f>
        <v>SL0</v>
      </c>
    </row>
    <row r="511" spans="1:123" x14ac:dyDescent="0.2">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x14ac:dyDescent="0.2">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-7.6160000000000012E-3</v>
      </c>
      <c r="AC512" s="94" t="str">
        <f>+F512</f>
        <v>SL0</v>
      </c>
    </row>
    <row r="513" spans="1:29" x14ac:dyDescent="0.2">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x14ac:dyDescent="0.2">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-7.6160000000000012E-3</v>
      </c>
      <c r="AC514" s="94" t="str">
        <f>+F514</f>
        <v>SL0</v>
      </c>
    </row>
    <row r="515" spans="1:29" x14ac:dyDescent="0.2">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x14ac:dyDescent="0.2">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x14ac:dyDescent="0.2">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x14ac:dyDescent="0.2">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x14ac:dyDescent="0.2">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x14ac:dyDescent="0.2">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x14ac:dyDescent="0.2">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x14ac:dyDescent="0.2">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x14ac:dyDescent="0.2">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x14ac:dyDescent="0.2">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x14ac:dyDescent="0.2">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x14ac:dyDescent="0.2">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x14ac:dyDescent="0.2">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x14ac:dyDescent="0.2">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x14ac:dyDescent="0.2">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x14ac:dyDescent="0.2">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x14ac:dyDescent="0.2">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x14ac:dyDescent="0.2">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x14ac:dyDescent="0.2">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x14ac:dyDescent="0.2">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x14ac:dyDescent="0.2">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x14ac:dyDescent="0.2">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x14ac:dyDescent="0.2">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x14ac:dyDescent="0.2">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x14ac:dyDescent="0.2">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x14ac:dyDescent="0.2">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x14ac:dyDescent="0.2">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x14ac:dyDescent="0.2">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x14ac:dyDescent="0.2">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x14ac:dyDescent="0.2">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x14ac:dyDescent="0.2">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x14ac:dyDescent="0.2">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x14ac:dyDescent="0.2">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x14ac:dyDescent="0.2">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x14ac:dyDescent="0.2">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x14ac:dyDescent="0.2">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x14ac:dyDescent="0.2">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x14ac:dyDescent="0.2">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x14ac:dyDescent="0.2">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x14ac:dyDescent="0.2">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x14ac:dyDescent="0.2">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
      <c r="B556" s="103">
        <v>-1</v>
      </c>
      <c r="C556" s="9"/>
      <c r="D556" s="8"/>
      <c r="S556" s="6"/>
      <c r="T556" s="6"/>
      <c r="U556" s="6"/>
      <c r="V556" s="27">
        <f>+T14</f>
        <v>0</v>
      </c>
      <c r="W556" s="6" t="s">
        <v>155</v>
      </c>
      <c r="X556" s="6"/>
      <c r="Y556" s="6"/>
      <c r="Z556" s="6"/>
      <c r="AA556" s="6"/>
      <c r="AB556" s="19" t="e">
        <f>+AB$564-V$564+#REF!</f>
        <v>#REF!</v>
      </c>
    </row>
    <row r="557" spans="1:29" x14ac:dyDescent="0.2">
      <c r="B557" s="103">
        <v>-1</v>
      </c>
      <c r="C557" s="9"/>
      <c r="D557" s="8"/>
      <c r="S557" s="6"/>
      <c r="T557" s="6"/>
      <c r="U557" s="6"/>
      <c r="V557" s="27">
        <f>T16</f>
        <v>-4.3999999999999999E-5</v>
      </c>
      <c r="W557" s="6" t="s">
        <v>156</v>
      </c>
      <c r="X557" s="6"/>
      <c r="Y557" s="6"/>
      <c r="Z557" s="6"/>
      <c r="AA557" s="6"/>
      <c r="AB557" s="19"/>
    </row>
    <row r="558" spans="1:29" x14ac:dyDescent="0.2">
      <c r="B558" s="103">
        <v>-1</v>
      </c>
      <c r="C558" s="9"/>
      <c r="D558" s="8"/>
      <c r="S558" s="6"/>
      <c r="T558" s="6"/>
      <c r="U558" s="6"/>
      <c r="V558" s="27">
        <f>$T$19</f>
        <v>1.15E-4</v>
      </c>
      <c r="W558" s="6" t="s">
        <v>157</v>
      </c>
      <c r="X558" s="6"/>
      <c r="Y558" s="6"/>
      <c r="Z558" s="6"/>
      <c r="AA558" s="6"/>
      <c r="AB558" s="19"/>
    </row>
    <row r="559" spans="1:29" x14ac:dyDescent="0.2">
      <c r="B559" s="103">
        <v>-1</v>
      </c>
      <c r="C559" s="9"/>
      <c r="D559" s="8"/>
      <c r="S559" s="6"/>
      <c r="T559" s="6"/>
      <c r="U559" s="6"/>
      <c r="V559" s="27">
        <f>$T$21</f>
        <v>4.6099999999999998E-4</v>
      </c>
      <c r="W559" s="6" t="s">
        <v>158</v>
      </c>
      <c r="X559" s="6"/>
      <c r="Y559" s="6"/>
      <c r="Z559" s="6"/>
      <c r="AA559" s="6"/>
      <c r="AB559" s="19"/>
    </row>
    <row r="560" spans="1:29" x14ac:dyDescent="0.2">
      <c r="B560" s="103">
        <v>-1</v>
      </c>
      <c r="C560" s="9"/>
      <c r="D560" s="8"/>
      <c r="S560" s="6"/>
      <c r="T560" s="6"/>
      <c r="U560" s="6"/>
      <c r="V560" s="27">
        <f>$T$23</f>
        <v>-8.1300000000000003E-4</v>
      </c>
      <c r="W560" s="6" t="s">
        <v>159</v>
      </c>
      <c r="X560" s="6"/>
      <c r="Y560" s="6"/>
      <c r="Z560" s="6"/>
      <c r="AA560" s="6"/>
      <c r="AB560" s="19"/>
    </row>
    <row r="561" spans="1:29" x14ac:dyDescent="0.2">
      <c r="B561" s="103">
        <v>-1</v>
      </c>
      <c r="C561" s="33" t="s">
        <v>194</v>
      </c>
      <c r="D561" s="8"/>
      <c r="S561" s="6"/>
      <c r="T561" s="6"/>
      <c r="U561" s="6"/>
      <c r="V561" s="27">
        <f>$T$25</f>
        <v>0</v>
      </c>
      <c r="W561" s="6" t="s">
        <v>160</v>
      </c>
      <c r="X561" s="6"/>
      <c r="Y561" s="6"/>
      <c r="Z561" s="6"/>
      <c r="AA561" s="6"/>
      <c r="AB561" s="19"/>
    </row>
    <row r="562" spans="1:29" x14ac:dyDescent="0.2">
      <c r="B562" s="103">
        <v>-1</v>
      </c>
      <c r="C562" s="73">
        <v>500</v>
      </c>
      <c r="D562" s="8"/>
      <c r="S562" s="6"/>
      <c r="T562" s="6"/>
      <c r="U562" s="6"/>
      <c r="V562" s="19">
        <f>T27</f>
        <v>0</v>
      </c>
      <c r="W562" s="6" t="s">
        <v>161</v>
      </c>
      <c r="X562" s="6"/>
      <c r="Y562" s="6"/>
      <c r="Z562" s="6"/>
      <c r="AA562" s="6"/>
      <c r="AB562" s="19"/>
    </row>
    <row r="563" spans="1:29" x14ac:dyDescent="0.2">
      <c r="B563" s="103"/>
      <c r="C563" s="73"/>
      <c r="D563" s="8"/>
      <c r="S563" s="6"/>
      <c r="T563" s="6"/>
      <c r="U563" s="6"/>
      <c r="V563" s="19">
        <f>T29</f>
        <v>2.6050000000000001E-3</v>
      </c>
      <c r="W563" s="6" t="s">
        <v>301</v>
      </c>
      <c r="X563" s="6"/>
      <c r="Y563" s="6"/>
      <c r="Z563" s="6"/>
      <c r="AA563" s="6"/>
      <c r="AB563" s="19"/>
    </row>
    <row r="564" spans="1:29" x14ac:dyDescent="0.2">
      <c r="A564" s="1"/>
      <c r="B564" s="103">
        <v>-1</v>
      </c>
      <c r="C564" s="9"/>
      <c r="D564" s="8"/>
      <c r="F564" s="70"/>
      <c r="G564" s="70"/>
      <c r="H564" s="70"/>
      <c r="J564" s="161">
        <v>130</v>
      </c>
      <c r="K564" s="162">
        <v>4.0835999999999997E-2</v>
      </c>
      <c r="L564" s="161">
        <v>28.3</v>
      </c>
      <c r="M564" s="161">
        <v>28.3</v>
      </c>
      <c r="N564" s="72"/>
      <c r="O564" s="72"/>
      <c r="P564" s="72"/>
      <c r="Q564" s="72"/>
      <c r="R564" s="5"/>
      <c r="S564" s="27">
        <f>+M$5</f>
        <v>3.0000000000000001E-3</v>
      </c>
      <c r="T564" s="27">
        <f>+R$5</f>
        <v>-3.4320000000000002E-3</v>
      </c>
      <c r="U564" s="27">
        <f>+S$31</f>
        <v>1.305E-3</v>
      </c>
      <c r="V564" s="27">
        <f>+T$5</f>
        <v>5.5240000000000003E-3</v>
      </c>
      <c r="W564" s="27">
        <f>+U$5</f>
        <v>0</v>
      </c>
      <c r="X564" s="27">
        <f>+V$31</f>
        <v>2.5569999999999998E-3</v>
      </c>
      <c r="Y564" s="27">
        <f>W31</f>
        <v>-1.771E-3</v>
      </c>
      <c r="Z564" s="27">
        <f>X31</f>
        <v>6.2500000000000001E-4</v>
      </c>
      <c r="AA564" s="27">
        <f>Y31</f>
        <v>-3.4600000000000001E-4</v>
      </c>
      <c r="AB564" s="19">
        <f>SUM(U564:Z564)</f>
        <v>8.2400000000000008E-3</v>
      </c>
    </row>
    <row r="565" spans="1:29" x14ac:dyDescent="0.2">
      <c r="B565" s="103">
        <v>-1</v>
      </c>
      <c r="C565" s="9"/>
      <c r="D565" s="8"/>
      <c r="F565" s="70"/>
      <c r="G565" s="70"/>
      <c r="H565" s="70"/>
      <c r="I565" s="70"/>
      <c r="J565" s="70"/>
      <c r="K565" s="70"/>
      <c r="L565" s="73">
        <v>2000</v>
      </c>
      <c r="M565" s="70"/>
      <c r="N565" s="70"/>
      <c r="O565" s="70"/>
      <c r="P565" s="70"/>
      <c r="Q565" s="70"/>
    </row>
    <row r="566" spans="1:29" x14ac:dyDescent="0.2">
      <c r="B566" s="103">
        <v>-1</v>
      </c>
      <c r="C566" s="9"/>
      <c r="D566" s="8"/>
      <c r="F566" s="12"/>
      <c r="J566" s="12" t="s">
        <v>137</v>
      </c>
      <c r="K566" s="12" t="s">
        <v>197</v>
      </c>
      <c r="L566" s="204" t="s">
        <v>30</v>
      </c>
      <c r="M566" s="204"/>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x14ac:dyDescent="0.2">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x14ac:dyDescent="0.2">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v>
      </c>
      <c r="U569" s="92">
        <f t="shared" si="36"/>
        <v>0</v>
      </c>
      <c r="V569" s="92">
        <f t="shared" si="36"/>
        <v>-0.01</v>
      </c>
      <c r="W569" s="92">
        <f t="shared" si="36"/>
        <v>0</v>
      </c>
      <c r="X569" s="92">
        <f t="shared" si="36"/>
        <v>0</v>
      </c>
      <c r="Y569" s="92">
        <f t="shared" si="36"/>
        <v>0</v>
      </c>
      <c r="Z569" s="92">
        <f t="shared" si="36"/>
        <v>0</v>
      </c>
      <c r="AA569" s="92">
        <f t="shared" si="36"/>
        <v>0</v>
      </c>
      <c r="AB569" s="19">
        <f>SUM(U564:AA564)</f>
        <v>7.894E-3</v>
      </c>
      <c r="AC569" s="105" t="str">
        <f>+F569</f>
        <v>PL</v>
      </c>
    </row>
    <row r="570" spans="1:29" x14ac:dyDescent="0.2">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9.9499999999999993" customHeight="1" x14ac:dyDescent="0.2">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x14ac:dyDescent="0.2">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x14ac:dyDescent="0.2">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x14ac:dyDescent="0.2">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x14ac:dyDescent="0.2">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x14ac:dyDescent="0.2">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x14ac:dyDescent="0.2">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x14ac:dyDescent="0.2">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x14ac:dyDescent="0.2">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x14ac:dyDescent="0.2">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x14ac:dyDescent="0.2">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x14ac:dyDescent="0.2">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x14ac:dyDescent="0.2">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x14ac:dyDescent="0.2">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x14ac:dyDescent="0.2">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x14ac:dyDescent="0.2">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x14ac:dyDescent="0.2">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2">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x14ac:dyDescent="0.2">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2.3259999999999999E-3</v>
      </c>
      <c r="AC589" s="94" t="str">
        <f>+F589</f>
        <v>PL8</v>
      </c>
    </row>
    <row r="590" spans="1:29" x14ac:dyDescent="0.2">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x14ac:dyDescent="0.2">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2.8309999999999993E-3</v>
      </c>
      <c r="AC591" s="94" t="str">
        <f>+F591</f>
        <v>PL8</v>
      </c>
    </row>
    <row r="592" spans="1:29" x14ac:dyDescent="0.2">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x14ac:dyDescent="0.2">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2.3699999999999997E-3</v>
      </c>
      <c r="AC593" s="94" t="str">
        <f>+F593</f>
        <v>PL8</v>
      </c>
    </row>
    <row r="594" spans="1:29" x14ac:dyDescent="0.2">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x14ac:dyDescent="0.2">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2.3699999999999997E-3</v>
      </c>
      <c r="AC595" s="94" t="str">
        <f>+F595</f>
        <v>PL8</v>
      </c>
    </row>
    <row r="596" spans="1:29" x14ac:dyDescent="0.2">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x14ac:dyDescent="0.2">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x14ac:dyDescent="0.2">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x14ac:dyDescent="0.2">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2.8309999999999993E-3</v>
      </c>
      <c r="AC599" s="94" t="str">
        <f>+F599</f>
        <v>PL9</v>
      </c>
    </row>
    <row r="600" spans="1:29" x14ac:dyDescent="0.2">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x14ac:dyDescent="0.2">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2.3699999999999997E-3</v>
      </c>
      <c r="AC601" s="94" t="str">
        <f>+F601</f>
        <v>PL9</v>
      </c>
    </row>
    <row r="602" spans="1:29" x14ac:dyDescent="0.2">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x14ac:dyDescent="0.2">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2.3699999999999997E-3</v>
      </c>
      <c r="AC603" s="94" t="str">
        <f>+F603</f>
        <v>PL9</v>
      </c>
    </row>
    <row r="604" spans="1:29" x14ac:dyDescent="0.2">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x14ac:dyDescent="0.2">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x14ac:dyDescent="0.2">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x14ac:dyDescent="0.2">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-7.6299999999999996E-3</v>
      </c>
      <c r="AC607" s="94" t="str">
        <f>+F607</f>
        <v>PL9</v>
      </c>
    </row>
    <row r="608" spans="1:29" x14ac:dyDescent="0.2">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2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2.8309999999999993E-3</v>
      </c>
      <c r="AC609" s="94" t="str">
        <f>+F609</f>
        <v>PL0</v>
      </c>
      <c r="AD609"/>
      <c r="AE609"/>
      <c r="AF609"/>
      <c r="AG609"/>
      <c r="AH609"/>
      <c r="AI609"/>
      <c r="AJ609"/>
      <c r="AK609"/>
      <c r="AL609"/>
      <c r="AM609"/>
      <c r="AN609"/>
      <c r="AO609"/>
      <c r="AP609"/>
      <c r="AQ609"/>
      <c r="AR609"/>
    </row>
    <row r="610" spans="1:44" x14ac:dyDescent="0.2">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x14ac:dyDescent="0.2">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2.3699999999999997E-3</v>
      </c>
      <c r="AC611" s="94" t="str">
        <f>+F611</f>
        <v>PL0</v>
      </c>
    </row>
    <row r="612" spans="1:44" x14ac:dyDescent="0.2">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x14ac:dyDescent="0.2">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2.3699999999999997E-3</v>
      </c>
      <c r="AC613" s="94" t="str">
        <f>+F613</f>
        <v>PL0</v>
      </c>
    </row>
    <row r="614" spans="1:44" x14ac:dyDescent="0.2">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x14ac:dyDescent="0.2">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x14ac:dyDescent="0.2">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x14ac:dyDescent="0.2">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-7.6299999999999996E-3</v>
      </c>
      <c r="AC617" s="94" t="str">
        <f>+F617</f>
        <v>PL0</v>
      </c>
    </row>
    <row r="618" spans="1:44" x14ac:dyDescent="0.2">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x14ac:dyDescent="0.2">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7.894E-3</v>
      </c>
      <c r="AC619" s="94" t="str">
        <f>+F619</f>
        <v>PL1</v>
      </c>
    </row>
    <row r="620" spans="1:44" x14ac:dyDescent="0.2">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x14ac:dyDescent="0.2">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22.002369999999999</v>
      </c>
      <c r="AC621" s="94" t="str">
        <f>+F621</f>
        <v>PL1</v>
      </c>
    </row>
    <row r="622" spans="1:44" x14ac:dyDescent="0.2">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x14ac:dyDescent="0.2">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2.3699999999999997E-3</v>
      </c>
      <c r="AC623" s="94" t="str">
        <f>+F623</f>
        <v>PL1</v>
      </c>
    </row>
    <row r="624" spans="1:44" x14ac:dyDescent="0.2">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x14ac:dyDescent="0.2">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2.3699999999999997E-3</v>
      </c>
      <c r="AC625" s="94" t="str">
        <f>+F625</f>
        <v>PL1</v>
      </c>
    </row>
    <row r="626" spans="1:29" x14ac:dyDescent="0.2">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x14ac:dyDescent="0.2">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2.3699999999999997E-3</v>
      </c>
      <c r="AC627" s="94" t="str">
        <f>+F627</f>
        <v>PL1</v>
      </c>
    </row>
    <row r="628" spans="1:29" x14ac:dyDescent="0.2">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x14ac:dyDescent="0.2">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2.3699999999999997E-3</v>
      </c>
      <c r="AC629" s="94" t="str">
        <f>+F629</f>
        <v>PL2</v>
      </c>
    </row>
    <row r="630" spans="1:29" x14ac:dyDescent="0.2">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x14ac:dyDescent="0.2">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2.3699999999999997E-3</v>
      </c>
      <c r="AC631" s="94" t="str">
        <f>+F631</f>
        <v>PL2</v>
      </c>
    </row>
    <row r="632" spans="1:29" x14ac:dyDescent="0.2">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x14ac:dyDescent="0.2">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2.3699999999999997E-3</v>
      </c>
      <c r="AC633" s="94" t="str">
        <f>+F633</f>
        <v>PL2</v>
      </c>
    </row>
    <row r="634" spans="1:29" x14ac:dyDescent="0.2">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x14ac:dyDescent="0.2">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2.3699999999999997E-3</v>
      </c>
      <c r="AC635" s="94" t="str">
        <f>+F635</f>
        <v>PL2</v>
      </c>
    </row>
    <row r="636" spans="1:29" ht="15" customHeight="1" x14ac:dyDescent="0.2">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2">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2.3699999999999997E-3</v>
      </c>
      <c r="AC637" s="94" t="str">
        <f>+F637</f>
        <v>PL2</v>
      </c>
    </row>
    <row r="638" spans="1:29" ht="15" customHeight="1" x14ac:dyDescent="0.2">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x14ac:dyDescent="0.2">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2.3699999999999997E-3</v>
      </c>
      <c r="AC639" s="94" t="str">
        <f>+F639</f>
        <v>PL3</v>
      </c>
    </row>
    <row r="640" spans="1:29" x14ac:dyDescent="0.2">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x14ac:dyDescent="0.2">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2.3699999999999997E-3</v>
      </c>
      <c r="AC641" s="94" t="str">
        <f>+F641</f>
        <v>PL3</v>
      </c>
    </row>
    <row r="642" spans="1:29" x14ac:dyDescent="0.2">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x14ac:dyDescent="0.2">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2.3699999999999997E-3</v>
      </c>
      <c r="AC643" s="94" t="str">
        <f>+F643</f>
        <v>PL3</v>
      </c>
    </row>
    <row r="644" spans="1:29" x14ac:dyDescent="0.2">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x14ac:dyDescent="0.2">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2.3699999999999997E-3</v>
      </c>
      <c r="AC645" s="94" t="str">
        <f>+F645</f>
        <v>PL3</v>
      </c>
    </row>
    <row r="646" spans="1:29" x14ac:dyDescent="0.2">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x14ac:dyDescent="0.2">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2.3699999999999997E-3</v>
      </c>
      <c r="AC647" s="94" t="str">
        <f>+F647</f>
        <v>PL3</v>
      </c>
    </row>
    <row r="648" spans="1:29" ht="15" customHeight="1" x14ac:dyDescent="0.2">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x14ac:dyDescent="0.2">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2.3699999999999997E-3</v>
      </c>
      <c r="AC649" s="94" t="str">
        <f>+F649</f>
        <v>PL4</v>
      </c>
    </row>
    <row r="650" spans="1:29" x14ac:dyDescent="0.2">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x14ac:dyDescent="0.2">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2.3699999999999997E-3</v>
      </c>
      <c r="AC651" s="94" t="str">
        <f>+F651</f>
        <v>PL4</v>
      </c>
    </row>
    <row r="652" spans="1:29" x14ac:dyDescent="0.2">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x14ac:dyDescent="0.2">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2.3699999999999997E-3</v>
      </c>
      <c r="AC653" s="94" t="str">
        <f>+F653</f>
        <v>PL4</v>
      </c>
    </row>
    <row r="654" spans="1:29" x14ac:dyDescent="0.2">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x14ac:dyDescent="0.2">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2.3699999999999997E-3</v>
      </c>
      <c r="AC655" s="94" t="str">
        <f>+F655</f>
        <v>PL4</v>
      </c>
    </row>
    <row r="656" spans="1:29" x14ac:dyDescent="0.2">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x14ac:dyDescent="0.2">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2.3699999999999997E-3</v>
      </c>
      <c r="AC657" s="94" t="str">
        <f>+F657</f>
        <v>PL4</v>
      </c>
    </row>
    <row r="658" spans="1:29" x14ac:dyDescent="0.2">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
      <c r="B659" s="103">
        <v>-1</v>
      </c>
      <c r="C659" s="9"/>
      <c r="D659" s="8"/>
      <c r="I659" s="19"/>
      <c r="S659" s="6"/>
      <c r="T659" s="6"/>
      <c r="U659" s="6"/>
      <c r="V659" s="27">
        <f>T16</f>
        <v>-4.3999999999999999E-5</v>
      </c>
      <c r="W659" s="6" t="s">
        <v>156</v>
      </c>
      <c r="X659" s="6"/>
      <c r="Y659" s="6"/>
      <c r="Z659" s="6"/>
      <c r="AA659" s="6"/>
      <c r="AB659" s="19"/>
    </row>
    <row r="660" spans="1:29" x14ac:dyDescent="0.2">
      <c r="B660" s="103">
        <v>-1</v>
      </c>
      <c r="C660" s="9"/>
      <c r="D660" s="8"/>
      <c r="I660" s="19"/>
      <c r="S660" s="6"/>
      <c r="T660" s="6"/>
      <c r="U660" s="6"/>
      <c r="V660" s="27">
        <f>$T$19</f>
        <v>1.15E-4</v>
      </c>
      <c r="W660" s="6" t="s">
        <v>157</v>
      </c>
      <c r="X660" s="6"/>
      <c r="Y660" s="6"/>
      <c r="Z660" s="6"/>
      <c r="AA660" s="6"/>
      <c r="AB660" s="19"/>
    </row>
    <row r="661" spans="1:29" x14ac:dyDescent="0.2">
      <c r="B661" s="103">
        <v>-1</v>
      </c>
      <c r="C661" s="9"/>
      <c r="D661" s="8"/>
      <c r="I661" s="19"/>
      <c r="S661" s="6"/>
      <c r="T661" s="6"/>
      <c r="U661" s="6"/>
      <c r="V661" s="27">
        <f>$T$21</f>
        <v>4.6099999999999998E-4</v>
      </c>
      <c r="W661" s="6" t="s">
        <v>158</v>
      </c>
      <c r="X661" s="6"/>
      <c r="Y661" s="6"/>
      <c r="Z661" s="6"/>
      <c r="AA661" s="6"/>
      <c r="AB661" s="19"/>
    </row>
    <row r="662" spans="1:29" x14ac:dyDescent="0.2">
      <c r="B662" s="103">
        <v>-1</v>
      </c>
      <c r="C662" s="9"/>
      <c r="D662" s="8"/>
      <c r="I662" s="19"/>
      <c r="S662" s="6"/>
      <c r="T662" s="6"/>
      <c r="U662" s="6"/>
      <c r="V662" s="27">
        <f>$T$23</f>
        <v>-8.1300000000000003E-4</v>
      </c>
      <c r="W662" s="6" t="s">
        <v>159</v>
      </c>
      <c r="X662" s="6"/>
      <c r="Y662" s="6"/>
      <c r="Z662" s="6"/>
      <c r="AA662" s="6"/>
      <c r="AB662" s="19"/>
    </row>
    <row r="663" spans="1:29" x14ac:dyDescent="0.2">
      <c r="B663" s="103">
        <v>-1</v>
      </c>
      <c r="C663" s="9"/>
      <c r="D663" s="8"/>
      <c r="I663" s="19"/>
      <c r="S663" s="6"/>
      <c r="T663" s="6"/>
      <c r="U663" s="6"/>
      <c r="V663" s="27">
        <f>$T$25</f>
        <v>0</v>
      </c>
      <c r="W663" s="6" t="s">
        <v>160</v>
      </c>
      <c r="X663" s="6"/>
      <c r="Y663" s="6"/>
      <c r="Z663" s="6"/>
      <c r="AA663" s="6"/>
      <c r="AB663" s="19"/>
    </row>
    <row r="664" spans="1:29" x14ac:dyDescent="0.2">
      <c r="B664" s="103">
        <v>-1</v>
      </c>
      <c r="C664" s="9"/>
      <c r="D664" s="8"/>
      <c r="I664" s="19"/>
      <c r="S664" s="6"/>
      <c r="T664" s="6"/>
      <c r="U664" s="6"/>
      <c r="V664" s="19">
        <f>T27</f>
        <v>0</v>
      </c>
      <c r="W664" s="6" t="s">
        <v>161</v>
      </c>
      <c r="X664" s="6"/>
      <c r="Y664" s="6"/>
      <c r="Z664" s="6"/>
      <c r="AA664" s="6"/>
      <c r="AB664" s="19"/>
    </row>
    <row r="665" spans="1:29" x14ac:dyDescent="0.2">
      <c r="B665" s="103"/>
      <c r="C665" s="9"/>
      <c r="D665" s="8"/>
      <c r="I665" s="19"/>
      <c r="S665" s="6"/>
      <c r="T665" s="6"/>
      <c r="U665" s="6"/>
      <c r="V665" s="19">
        <f>T29</f>
        <v>2.6050000000000001E-3</v>
      </c>
      <c r="W665" s="6" t="s">
        <v>301</v>
      </c>
      <c r="X665" s="6"/>
      <c r="Y665" s="6"/>
      <c r="Z665" s="6"/>
      <c r="AA665" s="6"/>
      <c r="AB665" s="19"/>
    </row>
    <row r="666" spans="1:29" x14ac:dyDescent="0.2">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3.0000000000000001E-3</v>
      </c>
      <c r="T666" s="27">
        <f t="shared" ref="T666:AA666" si="41">+R$5</f>
        <v>-3.4320000000000002E-3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-4.08E-4</v>
      </c>
      <c r="AB666" s="19">
        <f>SUM(U666:Z666)</f>
        <v>8.3159999999999987E-3</v>
      </c>
    </row>
    <row r="667" spans="1:29" x14ac:dyDescent="0.2">
      <c r="B667" s="103">
        <v>-1</v>
      </c>
      <c r="C667" s="9">
        <v>100</v>
      </c>
      <c r="D667" s="8"/>
      <c r="F667" s="70"/>
      <c r="G667" s="70"/>
      <c r="H667" s="70"/>
      <c r="I667" s="75"/>
      <c r="J667" s="70"/>
      <c r="K667" s="73">
        <v>250</v>
      </c>
      <c r="L667" s="73"/>
    </row>
    <row r="668" spans="1:29" x14ac:dyDescent="0.2">
      <c r="B668" s="103">
        <v>-1</v>
      </c>
      <c r="C668" s="9"/>
      <c r="D668" s="8"/>
      <c r="F668" s="12"/>
      <c r="I668" s="19"/>
      <c r="J668" s="12" t="s">
        <v>137</v>
      </c>
      <c r="K668" s="204" t="s">
        <v>28</v>
      </c>
      <c r="L668" s="204"/>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x14ac:dyDescent="0.2">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x14ac:dyDescent="0.2">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v>
      </c>
      <c r="U671" s="17">
        <f t="shared" si="42"/>
        <v>0</v>
      </c>
      <c r="V671" s="17">
        <f t="shared" si="42"/>
        <v>-0.01</v>
      </c>
      <c r="W671" s="17">
        <f t="shared" si="42"/>
        <v>0</v>
      </c>
      <c r="X671" s="17">
        <f t="shared" si="42"/>
        <v>0</v>
      </c>
      <c r="Y671" s="17">
        <f t="shared" si="42"/>
        <v>0</v>
      </c>
      <c r="Z671" s="17">
        <f t="shared" si="42"/>
        <v>0</v>
      </c>
      <c r="AA671" s="17">
        <f t="shared" si="42"/>
        <v>0</v>
      </c>
      <c r="AB671" s="19">
        <f>SUM(U666:AA666)</f>
        <v>7.9079999999999984E-3</v>
      </c>
      <c r="AC671" s="67" t="str">
        <f>+F671</f>
        <v>PH</v>
      </c>
    </row>
    <row r="672" spans="1:29" x14ac:dyDescent="0.2">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x14ac:dyDescent="0.2">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x14ac:dyDescent="0.2">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x14ac:dyDescent="0.2">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x14ac:dyDescent="0.2">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x14ac:dyDescent="0.2">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x14ac:dyDescent="0.2">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x14ac:dyDescent="0.2">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x14ac:dyDescent="0.2">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x14ac:dyDescent="0.2">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x14ac:dyDescent="0.2">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x14ac:dyDescent="0.2">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x14ac:dyDescent="0.2">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x14ac:dyDescent="0.2">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x14ac:dyDescent="0.2">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x14ac:dyDescent="0.2">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x14ac:dyDescent="0.2">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x14ac:dyDescent="0.2">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x14ac:dyDescent="0.2">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x14ac:dyDescent="0.2">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x14ac:dyDescent="0.2">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x14ac:dyDescent="0.2">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x14ac:dyDescent="0.2">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x14ac:dyDescent="0.2">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x14ac:dyDescent="0.2">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x14ac:dyDescent="0.2">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x14ac:dyDescent="0.2">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x14ac:dyDescent="0.2">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x14ac:dyDescent="0.2">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2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x14ac:dyDescent="0.2">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x14ac:dyDescent="0.2">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x14ac:dyDescent="0.2">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x14ac:dyDescent="0.2">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x14ac:dyDescent="0.2">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x14ac:dyDescent="0.2">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x14ac:dyDescent="0.2">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x14ac:dyDescent="0.2">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x14ac:dyDescent="0.2">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x14ac:dyDescent="0.2">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x14ac:dyDescent="0.2">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x14ac:dyDescent="0.2">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x14ac:dyDescent="0.2">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x14ac:dyDescent="0.2">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x14ac:dyDescent="0.2">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x14ac:dyDescent="0.2">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x14ac:dyDescent="0.2">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x14ac:dyDescent="0.2">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x14ac:dyDescent="0.2">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x14ac:dyDescent="0.2">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x14ac:dyDescent="0.2">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x14ac:dyDescent="0.2">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x14ac:dyDescent="0.2">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x14ac:dyDescent="0.2">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x14ac:dyDescent="0.2">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x14ac:dyDescent="0.2">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x14ac:dyDescent="0.2">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x14ac:dyDescent="0.2">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x14ac:dyDescent="0.2">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x14ac:dyDescent="0.2">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x14ac:dyDescent="0.2">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x14ac:dyDescent="0.2">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x14ac:dyDescent="0.2">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x14ac:dyDescent="0.2">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x14ac:dyDescent="0.2">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x14ac:dyDescent="0.2">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x14ac:dyDescent="0.2">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x14ac:dyDescent="0.2">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x14ac:dyDescent="0.2">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x14ac:dyDescent="0.2">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x14ac:dyDescent="0.2">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x14ac:dyDescent="0.2">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x14ac:dyDescent="0.2">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x14ac:dyDescent="0.2">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x14ac:dyDescent="0.2">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x14ac:dyDescent="0.2">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x14ac:dyDescent="0.2">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x14ac:dyDescent="0.2">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x14ac:dyDescent="0.2">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x14ac:dyDescent="0.2">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x14ac:dyDescent="0.2">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x14ac:dyDescent="0.2">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x14ac:dyDescent="0.2">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x14ac:dyDescent="0.2">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x14ac:dyDescent="0.2">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x14ac:dyDescent="0.2">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x14ac:dyDescent="0.2">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x14ac:dyDescent="0.2">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x14ac:dyDescent="0.2">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
      <c r="B763" s="103">
        <v>-1</v>
      </c>
      <c r="C763" s="9"/>
      <c r="D763" s="8"/>
      <c r="S763" s="6"/>
      <c r="T763" s="6"/>
      <c r="U763" s="6"/>
      <c r="V763" s="27">
        <f>+$T$14</f>
        <v>0</v>
      </c>
      <c r="W763" s="6" t="s">
        <v>155</v>
      </c>
      <c r="X763" s="6"/>
      <c r="Y763" s="6"/>
      <c r="Z763" s="6"/>
      <c r="AA763" s="6"/>
      <c r="AB763" s="19">
        <f>+AB$771-V$771+V762</f>
        <v>2.7160000000000005E-3</v>
      </c>
    </row>
    <row r="764" spans="1:29" x14ac:dyDescent="0.2">
      <c r="B764" s="103">
        <v>-1</v>
      </c>
      <c r="C764" s="9"/>
      <c r="D764" s="8"/>
      <c r="S764" s="6"/>
      <c r="T764" s="6"/>
      <c r="U764" s="6"/>
      <c r="V764" s="27">
        <f>$T$16</f>
        <v>-4.3999999999999999E-5</v>
      </c>
      <c r="W764" s="6" t="s">
        <v>156</v>
      </c>
      <c r="X764" s="6"/>
      <c r="Y764" s="6"/>
      <c r="Z764" s="6"/>
      <c r="AA764" s="6"/>
      <c r="AB764" s="19"/>
    </row>
    <row r="765" spans="1:29" x14ac:dyDescent="0.2">
      <c r="B765" s="103">
        <v>-1</v>
      </c>
      <c r="C765" s="9"/>
      <c r="D765" s="8"/>
      <c r="S765" s="6"/>
      <c r="T765" s="6"/>
      <c r="U765" s="6"/>
      <c r="V765" s="27">
        <f>$T$19</f>
        <v>1.15E-4</v>
      </c>
      <c r="W765" s="6" t="s">
        <v>157</v>
      </c>
      <c r="X765" s="6"/>
      <c r="Y765" s="6"/>
      <c r="Z765" s="6"/>
      <c r="AA765" s="6"/>
      <c r="AB765" s="19"/>
    </row>
    <row r="766" spans="1:29" x14ac:dyDescent="0.2">
      <c r="B766" s="103">
        <v>-1</v>
      </c>
      <c r="C766" s="9"/>
      <c r="D766" s="8"/>
      <c r="S766" s="6"/>
      <c r="T766" s="6"/>
      <c r="U766" s="6"/>
      <c r="V766" s="27">
        <f>$T$21</f>
        <v>4.6099999999999998E-4</v>
      </c>
      <c r="W766" s="6" t="s">
        <v>158</v>
      </c>
      <c r="X766" s="6"/>
      <c r="Y766" s="6"/>
      <c r="Z766" s="6"/>
      <c r="AA766" s="6"/>
      <c r="AB766" s="19"/>
    </row>
    <row r="767" spans="1:29" x14ac:dyDescent="0.2">
      <c r="B767" s="103">
        <v>-1</v>
      </c>
      <c r="C767" s="9"/>
      <c r="D767" s="8"/>
      <c r="S767" s="6"/>
      <c r="T767" s="6"/>
      <c r="U767" s="6"/>
      <c r="V767" s="27">
        <f>$T$23</f>
        <v>-8.1300000000000003E-4</v>
      </c>
      <c r="W767" s="6" t="s">
        <v>159</v>
      </c>
      <c r="X767" s="6"/>
      <c r="Y767" s="6"/>
      <c r="Z767" s="6"/>
      <c r="AA767" s="6"/>
      <c r="AB767" s="19"/>
    </row>
    <row r="768" spans="1:29" x14ac:dyDescent="0.2">
      <c r="B768" s="103">
        <v>-1</v>
      </c>
      <c r="C768" s="33" t="s">
        <v>194</v>
      </c>
      <c r="D768" s="8"/>
      <c r="S768" s="6"/>
      <c r="T768" s="6"/>
      <c r="U768" s="6"/>
      <c r="V768" s="27">
        <f>$T$25</f>
        <v>0</v>
      </c>
      <c r="W768" s="6" t="s">
        <v>160</v>
      </c>
      <c r="X768" s="6"/>
      <c r="Y768" s="6"/>
      <c r="Z768" s="6"/>
      <c r="AA768" s="6"/>
      <c r="AB768" s="19"/>
    </row>
    <row r="769" spans="1:29" x14ac:dyDescent="0.2">
      <c r="B769" s="103">
        <v>-1</v>
      </c>
      <c r="C769" s="9">
        <v>2000</v>
      </c>
      <c r="D769" s="8"/>
      <c r="S769" s="6"/>
      <c r="T769" s="6"/>
      <c r="U769" s="6"/>
      <c r="V769" s="19">
        <f>T27</f>
        <v>0</v>
      </c>
      <c r="W769" s="6" t="s">
        <v>161</v>
      </c>
      <c r="X769" s="6"/>
      <c r="Y769" s="6"/>
      <c r="Z769" s="6"/>
      <c r="AA769" s="6"/>
      <c r="AB769" s="19"/>
    </row>
    <row r="770" spans="1:29" x14ac:dyDescent="0.2">
      <c r="B770" s="103"/>
      <c r="C770" s="9"/>
      <c r="D770" s="8"/>
      <c r="S770" s="6"/>
      <c r="T770" s="6"/>
      <c r="U770" s="6"/>
      <c r="V770" s="19">
        <f>T29</f>
        <v>2.6050000000000001E-3</v>
      </c>
      <c r="W770" s="6" t="s">
        <v>301</v>
      </c>
      <c r="X770" s="6"/>
      <c r="Y770" s="6"/>
      <c r="Z770" s="6"/>
      <c r="AA770" s="6"/>
      <c r="AB770" s="19"/>
    </row>
    <row r="771" spans="1:29" x14ac:dyDescent="0.2">
      <c r="B771" s="103">
        <v>-1</v>
      </c>
      <c r="C771" s="9"/>
      <c r="D771" s="8"/>
      <c r="F771" s="70"/>
      <c r="G771" s="70"/>
      <c r="H771" s="70"/>
      <c r="I771" s="70"/>
      <c r="J771" s="161">
        <v>130</v>
      </c>
      <c r="K771" s="162">
        <v>4.0606000000000003E-2</v>
      </c>
      <c r="L771" s="161">
        <v>27.95</v>
      </c>
      <c r="M771" s="161">
        <v>27.95</v>
      </c>
      <c r="N771" s="72"/>
      <c r="O771" s="72"/>
      <c r="P771" s="72"/>
      <c r="Q771" s="72"/>
      <c r="R771" s="5"/>
      <c r="S771" s="27">
        <f>+S564</f>
        <v>3.0000000000000001E-3</v>
      </c>
      <c r="T771" s="27">
        <f>+T564</f>
        <v>-3.4320000000000002E-3</v>
      </c>
      <c r="U771" s="27">
        <f>+$S$30</f>
        <v>1.305E-3</v>
      </c>
      <c r="V771" s="27">
        <f>+V564</f>
        <v>5.5240000000000003E-3</v>
      </c>
      <c r="W771" s="27">
        <f>+W564</f>
        <v>0</v>
      </c>
      <c r="X771" s="27">
        <f>+V30</f>
        <v>2.5569999999999998E-3</v>
      </c>
      <c r="Y771" s="27">
        <f>+W30</f>
        <v>-1.771E-3</v>
      </c>
      <c r="Z771" s="27">
        <f>+X30</f>
        <v>6.2500000000000001E-4</v>
      </c>
      <c r="AA771" s="27">
        <f>+Y30</f>
        <v>-3.4600000000000001E-4</v>
      </c>
      <c r="AB771" s="19">
        <f>SUM(U771:Z771)</f>
        <v>8.2400000000000008E-3</v>
      </c>
    </row>
    <row r="772" spans="1:29" x14ac:dyDescent="0.2">
      <c r="A772" s="1"/>
      <c r="B772" s="103">
        <v>-1</v>
      </c>
      <c r="C772" s="9"/>
      <c r="D772" s="8"/>
      <c r="F772" s="70"/>
      <c r="G772" s="70"/>
      <c r="H772" s="70"/>
      <c r="I772" s="70"/>
      <c r="J772" s="70"/>
      <c r="K772" s="70"/>
      <c r="L772" s="73">
        <v>4000</v>
      </c>
      <c r="M772" s="70"/>
      <c r="N772" s="70"/>
      <c r="O772" s="70"/>
      <c r="P772" s="70"/>
      <c r="Q772" s="70"/>
    </row>
    <row r="773" spans="1:29" x14ac:dyDescent="0.2">
      <c r="B773" s="103">
        <v>-1</v>
      </c>
      <c r="C773" s="9"/>
      <c r="D773" s="8"/>
      <c r="F773" s="12"/>
      <c r="J773" s="12" t="s">
        <v>137</v>
      </c>
      <c r="K773" s="12" t="s">
        <v>197</v>
      </c>
      <c r="L773" s="204" t="s">
        <v>30</v>
      </c>
      <c r="M773" s="204"/>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x14ac:dyDescent="0.2">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x14ac:dyDescent="0.2">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v>
      </c>
      <c r="U776" s="17">
        <f t="shared" si="50"/>
        <v>0</v>
      </c>
      <c r="V776" s="17">
        <f t="shared" si="50"/>
        <v>-0.01</v>
      </c>
      <c r="W776" s="17">
        <f t="shared" si="50"/>
        <v>0</v>
      </c>
      <c r="X776" s="17">
        <f t="shared" si="50"/>
        <v>0</v>
      </c>
      <c r="Y776" s="17">
        <f t="shared" si="50"/>
        <v>0</v>
      </c>
      <c r="Z776" s="17">
        <f t="shared" si="50"/>
        <v>0</v>
      </c>
      <c r="AA776" s="17">
        <f t="shared" si="50"/>
        <v>0</v>
      </c>
      <c r="AB776" s="19">
        <f>SUM(U771:AA771)</f>
        <v>7.894E-3</v>
      </c>
      <c r="AC776" s="67" t="str">
        <f>+F776</f>
        <v>HL1</v>
      </c>
    </row>
    <row r="777" spans="1:29" x14ac:dyDescent="0.2">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x14ac:dyDescent="0.2">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x14ac:dyDescent="0.2">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x14ac:dyDescent="0.2">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x14ac:dyDescent="0.2">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x14ac:dyDescent="0.2">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x14ac:dyDescent="0.2">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x14ac:dyDescent="0.2">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x14ac:dyDescent="0.2">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x14ac:dyDescent="0.2">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2.3699999999999997E-3</v>
      </c>
      <c r="AC786" s="94" t="str">
        <f>+F786</f>
        <v>HL17</v>
      </c>
    </row>
    <row r="787" spans="1:29" x14ac:dyDescent="0.2">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x14ac:dyDescent="0.2">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2.4849999999999994E-3</v>
      </c>
      <c r="AC788" s="94" t="str">
        <f>+F788</f>
        <v>HL17</v>
      </c>
    </row>
    <row r="789" spans="1:29" x14ac:dyDescent="0.2">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x14ac:dyDescent="0.2">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1.5569999999999994E-3</v>
      </c>
      <c r="AC790" s="94" t="str">
        <f>+F790</f>
        <v>HL17</v>
      </c>
    </row>
    <row r="791" spans="1:29" x14ac:dyDescent="0.2">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x14ac:dyDescent="0.2">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7.894E-3</v>
      </c>
      <c r="AC792" s="94" t="str">
        <f>+F792</f>
        <v>HL17</v>
      </c>
    </row>
    <row r="793" spans="1:29" x14ac:dyDescent="0.2">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x14ac:dyDescent="0.2">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22.002369999999999</v>
      </c>
      <c r="AC794" s="94" t="str">
        <f>+F794</f>
        <v>HL17</v>
      </c>
    </row>
    <row r="795" spans="1:29" x14ac:dyDescent="0.2">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x14ac:dyDescent="0.2">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x14ac:dyDescent="0.2">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x14ac:dyDescent="0.2">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x14ac:dyDescent="0.2">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x14ac:dyDescent="0.2">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x14ac:dyDescent="0.2">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x14ac:dyDescent="0.2">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x14ac:dyDescent="0.2">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x14ac:dyDescent="0.2">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x14ac:dyDescent="0.2">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2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x14ac:dyDescent="0.2">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x14ac:dyDescent="0.2">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x14ac:dyDescent="0.2">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x14ac:dyDescent="0.2">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x14ac:dyDescent="0.2">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x14ac:dyDescent="0.2">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x14ac:dyDescent="0.2">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x14ac:dyDescent="0.2">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x14ac:dyDescent="0.2">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x14ac:dyDescent="0.2">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x14ac:dyDescent="0.2">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x14ac:dyDescent="0.2">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x14ac:dyDescent="0.2">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x14ac:dyDescent="0.2">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x14ac:dyDescent="0.2">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x14ac:dyDescent="0.2">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x14ac:dyDescent="0.2">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x14ac:dyDescent="0.2">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x14ac:dyDescent="0.2">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x14ac:dyDescent="0.2">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x14ac:dyDescent="0.2">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x14ac:dyDescent="0.2">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x14ac:dyDescent="0.2">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x14ac:dyDescent="0.2">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x14ac:dyDescent="0.2">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x14ac:dyDescent="0.2">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x14ac:dyDescent="0.2">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x14ac:dyDescent="0.2">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x14ac:dyDescent="0.2">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x14ac:dyDescent="0.2">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x14ac:dyDescent="0.2">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x14ac:dyDescent="0.2">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x14ac:dyDescent="0.2">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x14ac:dyDescent="0.2">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x14ac:dyDescent="0.2">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x14ac:dyDescent="0.2">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x14ac:dyDescent="0.2">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x14ac:dyDescent="0.2">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x14ac:dyDescent="0.2">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x14ac:dyDescent="0.2">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x14ac:dyDescent="0.2">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x14ac:dyDescent="0.2">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x14ac:dyDescent="0.2">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x14ac:dyDescent="0.2">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x14ac:dyDescent="0.2">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x14ac:dyDescent="0.2">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x14ac:dyDescent="0.2">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x14ac:dyDescent="0.2">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x14ac:dyDescent="0.2">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x14ac:dyDescent="0.2">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x14ac:dyDescent="0.2">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x14ac:dyDescent="0.2">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x14ac:dyDescent="0.2">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x14ac:dyDescent="0.2">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x14ac:dyDescent="0.2">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x14ac:dyDescent="0.2">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x14ac:dyDescent="0.2">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x14ac:dyDescent="0.2">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x14ac:dyDescent="0.2">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
      <c r="B866" s="103">
        <v>-1</v>
      </c>
      <c r="C866" s="9"/>
      <c r="D866" s="8"/>
      <c r="R866">
        <v>6571.2</v>
      </c>
      <c r="V866" s="19">
        <f>+T8</f>
        <v>0</v>
      </c>
      <c r="W866" s="6" t="s">
        <v>158</v>
      </c>
      <c r="AB866" s="19">
        <f>+AB$876-V$876+V866</f>
        <v>2.7160000000000005E-3</v>
      </c>
    </row>
    <row r="867" spans="1:29" x14ac:dyDescent="0.2">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
      <c r="B868" s="103">
        <v>-1</v>
      </c>
      <c r="C868" s="9"/>
      <c r="D868" s="8"/>
      <c r="S868" s="6"/>
      <c r="T868" s="6"/>
      <c r="U868" s="6"/>
      <c r="V868" s="27">
        <f>+$T$14</f>
        <v>0</v>
      </c>
      <c r="W868" s="6" t="s">
        <v>155</v>
      </c>
      <c r="X868" s="6"/>
      <c r="Y868" s="6"/>
      <c r="Z868" s="6"/>
      <c r="AA868" s="6"/>
      <c r="AB868" s="19">
        <f>+AB$876-V$876+V867</f>
        <v>2.7160000000000005E-3</v>
      </c>
    </row>
    <row r="869" spans="1:29" x14ac:dyDescent="0.2">
      <c r="B869" s="103">
        <v>-1</v>
      </c>
      <c r="C869" s="9"/>
      <c r="D869" s="8"/>
      <c r="S869" s="6"/>
      <c r="T869" s="6"/>
      <c r="U869" s="6"/>
      <c r="V869" s="27">
        <f>$T$16</f>
        <v>-4.3999999999999999E-5</v>
      </c>
      <c r="W869" s="6" t="s">
        <v>156</v>
      </c>
      <c r="X869" s="6"/>
      <c r="Y869" s="6"/>
      <c r="Z869" s="6"/>
      <c r="AA869" s="6"/>
      <c r="AB869" s="19"/>
    </row>
    <row r="870" spans="1:29" x14ac:dyDescent="0.2">
      <c r="B870" s="103">
        <v>-1</v>
      </c>
      <c r="C870" s="9"/>
      <c r="D870" s="8"/>
      <c r="S870" s="6"/>
      <c r="T870" s="6"/>
      <c r="U870" s="6"/>
      <c r="V870" s="27">
        <f>$T$19</f>
        <v>1.15E-4</v>
      </c>
      <c r="W870" s="6" t="s">
        <v>157</v>
      </c>
      <c r="X870" s="6"/>
      <c r="Y870" s="6"/>
      <c r="Z870" s="6"/>
      <c r="AA870" s="6"/>
      <c r="AB870" s="19"/>
    </row>
    <row r="871" spans="1:29" x14ac:dyDescent="0.2">
      <c r="B871" s="103">
        <v>-1</v>
      </c>
      <c r="C871" s="9"/>
      <c r="D871" s="8"/>
      <c r="S871" s="6"/>
      <c r="T871" s="6"/>
      <c r="U871" s="6"/>
      <c r="V871" s="27">
        <f>$T$21</f>
        <v>4.6099999999999998E-4</v>
      </c>
      <c r="W871" s="6" t="s">
        <v>158</v>
      </c>
      <c r="X871" s="6"/>
      <c r="Y871" s="6"/>
      <c r="Z871" s="6"/>
      <c r="AA871" s="6"/>
      <c r="AB871" s="19"/>
    </row>
    <row r="872" spans="1:29" x14ac:dyDescent="0.2">
      <c r="B872" s="103">
        <v>-1</v>
      </c>
      <c r="C872" s="9"/>
      <c r="D872" s="8"/>
      <c r="S872" s="6"/>
      <c r="T872" s="6"/>
      <c r="U872" s="6"/>
      <c r="V872" s="27">
        <f>$T$23</f>
        <v>-8.1300000000000003E-4</v>
      </c>
      <c r="W872" s="6" t="s">
        <v>159</v>
      </c>
      <c r="X872" s="6"/>
      <c r="Y872" s="6"/>
      <c r="Z872" s="6"/>
      <c r="AA872" s="6"/>
      <c r="AB872" s="19"/>
    </row>
    <row r="873" spans="1:29" x14ac:dyDescent="0.2">
      <c r="B873" s="103">
        <v>-1</v>
      </c>
      <c r="C873" s="9"/>
      <c r="D873" s="8"/>
      <c r="S873" s="6"/>
      <c r="T873" s="6"/>
      <c r="U873" s="6"/>
      <c r="V873" s="27">
        <f>$T$25</f>
        <v>0</v>
      </c>
      <c r="W873" s="6" t="s">
        <v>160</v>
      </c>
      <c r="X873" s="6"/>
      <c r="Y873" s="6"/>
      <c r="Z873" s="6"/>
      <c r="AA873" s="6"/>
      <c r="AB873" s="19"/>
    </row>
    <row r="874" spans="1:29" x14ac:dyDescent="0.2">
      <c r="B874" s="103">
        <v>-1</v>
      </c>
      <c r="C874" s="9"/>
      <c r="D874" s="8"/>
      <c r="S874" s="6"/>
      <c r="T874" s="6"/>
      <c r="U874" s="6"/>
      <c r="V874" s="19">
        <f>T27</f>
        <v>0</v>
      </c>
      <c r="W874" s="6" t="s">
        <v>161</v>
      </c>
      <c r="X874" s="6"/>
      <c r="Y874" s="6"/>
      <c r="Z874" s="6"/>
      <c r="AA874" s="6"/>
      <c r="AB874" s="19"/>
    </row>
    <row r="875" spans="1:29" x14ac:dyDescent="0.2">
      <c r="B875" s="103"/>
      <c r="C875" s="9"/>
      <c r="D875" s="8"/>
      <c r="S875" s="6"/>
      <c r="T875" s="6"/>
      <c r="U875" s="6"/>
      <c r="V875" s="19">
        <f>T29</f>
        <v>2.6050000000000001E-3</v>
      </c>
      <c r="W875" s="6" t="s">
        <v>301</v>
      </c>
      <c r="X875" s="6"/>
      <c r="Y875" s="6"/>
      <c r="Z875" s="6"/>
      <c r="AA875" s="6"/>
      <c r="AB875" s="19"/>
    </row>
    <row r="876" spans="1:29" x14ac:dyDescent="0.2">
      <c r="B876" s="103">
        <v>-1</v>
      </c>
      <c r="C876" s="9"/>
      <c r="D876" s="8"/>
      <c r="F876" s="70"/>
      <c r="G876" s="70"/>
      <c r="H876" s="70"/>
      <c r="I876" s="70"/>
      <c r="J876" s="161">
        <v>215</v>
      </c>
      <c r="K876" s="162">
        <v>4.0410000000000001E-2</v>
      </c>
      <c r="L876" s="161">
        <v>25</v>
      </c>
      <c r="M876" s="161">
        <v>25</v>
      </c>
      <c r="N876" s="72"/>
      <c r="O876" s="72"/>
      <c r="P876" s="72"/>
      <c r="Q876" s="72"/>
      <c r="R876" s="5"/>
      <c r="S876" s="27">
        <f>+S666</f>
        <v>3.0000000000000001E-3</v>
      </c>
      <c r="T876" s="27">
        <f>+T666</f>
        <v>-3.4320000000000002E-3</v>
      </c>
      <c r="U876" s="27">
        <f>+$S$30</f>
        <v>1.305E-3</v>
      </c>
      <c r="V876" s="27">
        <f>+V666</f>
        <v>5.5240000000000003E-3</v>
      </c>
      <c r="W876" s="27">
        <f>+W666</f>
        <v>0</v>
      </c>
      <c r="X876" s="27">
        <f>+X771</f>
        <v>2.5569999999999998E-3</v>
      </c>
      <c r="Y876" s="27">
        <f>+Y771</f>
        <v>-1.771E-3</v>
      </c>
      <c r="Z876" s="27">
        <f>+Z771</f>
        <v>6.2500000000000001E-4</v>
      </c>
      <c r="AA876" s="27">
        <f>+AA771</f>
        <v>-3.4600000000000001E-4</v>
      </c>
      <c r="AB876" s="19">
        <f>SUM(U876:Z876)</f>
        <v>8.2400000000000008E-3</v>
      </c>
    </row>
    <row r="877" spans="1:29" x14ac:dyDescent="0.2">
      <c r="A877" s="1"/>
      <c r="B877" s="103">
        <v>-1</v>
      </c>
      <c r="C877" s="9"/>
      <c r="D877" s="8"/>
      <c r="F877" s="70"/>
      <c r="G877" s="70"/>
      <c r="H877" s="70"/>
      <c r="I877" s="70"/>
      <c r="J877" s="70"/>
      <c r="K877" s="70"/>
      <c r="L877" s="73">
        <v>4000</v>
      </c>
      <c r="M877" s="70"/>
      <c r="N877" s="70"/>
      <c r="O877" s="70"/>
      <c r="P877" s="70"/>
      <c r="Q877" s="70"/>
    </row>
    <row r="878" spans="1:29" x14ac:dyDescent="0.2">
      <c r="B878" s="103">
        <v>-1</v>
      </c>
      <c r="C878" s="9"/>
      <c r="D878" s="8"/>
      <c r="F878" s="12"/>
      <c r="J878" s="12" t="s">
        <v>137</v>
      </c>
      <c r="K878" s="12" t="s">
        <v>197</v>
      </c>
      <c r="L878" s="204" t="s">
        <v>30</v>
      </c>
      <c r="M878" s="204"/>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x14ac:dyDescent="0.2">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x14ac:dyDescent="0.2">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v>
      </c>
      <c r="U881" s="17">
        <f t="shared" si="55"/>
        <v>0</v>
      </c>
      <c r="V881" s="8">
        <f t="shared" si="55"/>
        <v>-0.01</v>
      </c>
      <c r="W881" s="17">
        <f t="shared" si="55"/>
        <v>0</v>
      </c>
      <c r="X881" s="17">
        <f t="shared" si="55"/>
        <v>0</v>
      </c>
      <c r="Y881" s="17">
        <f t="shared" si="55"/>
        <v>0</v>
      </c>
      <c r="Z881" s="17">
        <f t="shared" si="55"/>
        <v>0</v>
      </c>
      <c r="AA881" s="17">
        <f t="shared" si="55"/>
        <v>0</v>
      </c>
      <c r="AB881" s="19">
        <f>SUM(U876:AA876)</f>
        <v>7.894E-3</v>
      </c>
      <c r="AC881" s="67" t="str">
        <f>+F881</f>
        <v>HL2</v>
      </c>
    </row>
    <row r="882" spans="1:29" x14ac:dyDescent="0.2">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x14ac:dyDescent="0.2">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x14ac:dyDescent="0.2">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x14ac:dyDescent="0.2">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x14ac:dyDescent="0.2">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x14ac:dyDescent="0.2">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x14ac:dyDescent="0.2">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x14ac:dyDescent="0.2">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x14ac:dyDescent="0.2">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x14ac:dyDescent="0.2">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2.3699999999999997E-3</v>
      </c>
      <c r="AC891" s="105" t="str">
        <f t="shared" si="62"/>
        <v>HL27</v>
      </c>
    </row>
    <row r="892" spans="1:29" x14ac:dyDescent="0.2">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x14ac:dyDescent="0.2">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x14ac:dyDescent="0.2">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x14ac:dyDescent="0.2">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-7.6299999999999996E-3</v>
      </c>
      <c r="AC895" s="105" t="str">
        <f t="shared" si="62"/>
        <v>HL27</v>
      </c>
    </row>
    <row r="896" spans="1:29" x14ac:dyDescent="0.2">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x14ac:dyDescent="0.2">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-7.6299999999999996E-3</v>
      </c>
      <c r="AC897" s="105" t="str">
        <f t="shared" si="62"/>
        <v>HL27</v>
      </c>
    </row>
    <row r="898" spans="1:252" x14ac:dyDescent="0.2">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x14ac:dyDescent="0.2">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-7.6299999999999996E-3</v>
      </c>
      <c r="AC899" s="105" t="str">
        <f t="shared" si="62"/>
        <v>HL27</v>
      </c>
    </row>
    <row r="900" spans="1:252" x14ac:dyDescent="0.2">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x14ac:dyDescent="0.2">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-7.6299999999999996E-3</v>
      </c>
      <c r="AC901" s="105" t="str">
        <f t="shared" si="62"/>
        <v>HL28</v>
      </c>
    </row>
    <row r="902" spans="1:252" x14ac:dyDescent="0.2">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x14ac:dyDescent="0.2">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-7.6299999999999996E-3</v>
      </c>
      <c r="AC903" s="105" t="str">
        <f t="shared" si="62"/>
        <v>HL28</v>
      </c>
    </row>
    <row r="904" spans="1:252" x14ac:dyDescent="0.2">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x14ac:dyDescent="0.2">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2.3699999999999997E-3</v>
      </c>
      <c r="AC905" s="105" t="str">
        <f t="shared" si="62"/>
        <v>HL28</v>
      </c>
    </row>
    <row r="906" spans="1:252" x14ac:dyDescent="0.2">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x14ac:dyDescent="0.2">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2.3699999999999997E-3</v>
      </c>
      <c r="AC907" s="105" t="str">
        <f t="shared" si="62"/>
        <v>HL28</v>
      </c>
    </row>
    <row r="908" spans="1:252" x14ac:dyDescent="0.2">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x14ac:dyDescent="0.2">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2.3699999999999997E-3</v>
      </c>
      <c r="AC909" s="105" t="str">
        <f t="shared" si="62"/>
        <v>HL28</v>
      </c>
    </row>
    <row r="910" spans="1:252" x14ac:dyDescent="0.2">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2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2.3699999999999997E-3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x14ac:dyDescent="0.2">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x14ac:dyDescent="0.2">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2.3699999999999997E-3</v>
      </c>
      <c r="AC913" s="105" t="str">
        <f t="shared" si="62"/>
        <v>HL29</v>
      </c>
    </row>
    <row r="914" spans="1:29" x14ac:dyDescent="0.2">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x14ac:dyDescent="0.2">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2.3699999999999997E-3</v>
      </c>
      <c r="AC915" s="105" t="str">
        <f t="shared" si="62"/>
        <v>HL29</v>
      </c>
    </row>
    <row r="916" spans="1:29" x14ac:dyDescent="0.2">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x14ac:dyDescent="0.2">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2.3699999999999997E-3</v>
      </c>
      <c r="AC917" s="105" t="str">
        <f t="shared" si="62"/>
        <v>HL29</v>
      </c>
    </row>
    <row r="918" spans="1:29" x14ac:dyDescent="0.2">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x14ac:dyDescent="0.2">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2.3699999999999997E-3</v>
      </c>
      <c r="AC919" s="105" t="str">
        <f t="shared" si="62"/>
        <v>HL29</v>
      </c>
    </row>
    <row r="920" spans="1:29" x14ac:dyDescent="0.2">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x14ac:dyDescent="0.2">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2.3699999999999997E-3</v>
      </c>
      <c r="AC921" s="105" t="str">
        <f t="shared" si="62"/>
        <v>HL20</v>
      </c>
    </row>
    <row r="922" spans="1:29" x14ac:dyDescent="0.2">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x14ac:dyDescent="0.2">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2.3699999999999997E-3</v>
      </c>
      <c r="AC923" s="105" t="str">
        <f t="shared" si="62"/>
        <v>HL20</v>
      </c>
    </row>
    <row r="924" spans="1:29" x14ac:dyDescent="0.2">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x14ac:dyDescent="0.2">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2.3699999999999997E-3</v>
      </c>
      <c r="AC925" s="105" t="str">
        <f t="shared" si="62"/>
        <v>HL20</v>
      </c>
    </row>
    <row r="926" spans="1:29" x14ac:dyDescent="0.2">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x14ac:dyDescent="0.2">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2.3699999999999997E-3</v>
      </c>
      <c r="AC927" s="105" t="str">
        <f t="shared" si="62"/>
        <v>HL20</v>
      </c>
    </row>
    <row r="928" spans="1:29" x14ac:dyDescent="0.2">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x14ac:dyDescent="0.2">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2.3699999999999997E-3</v>
      </c>
      <c r="AC929" s="105" t="str">
        <f t="shared" si="62"/>
        <v>HL20</v>
      </c>
    </row>
    <row r="930" spans="1:29" x14ac:dyDescent="0.2">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x14ac:dyDescent="0.2">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2.3699999999999997E-3</v>
      </c>
      <c r="AC931" s="105" t="str">
        <f t="shared" si="62"/>
        <v>HL21</v>
      </c>
    </row>
    <row r="932" spans="1:29" x14ac:dyDescent="0.2">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x14ac:dyDescent="0.2">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2.3699999999999997E-3</v>
      </c>
      <c r="AC933" s="105" t="str">
        <f t="shared" si="62"/>
        <v>HL21</v>
      </c>
    </row>
    <row r="934" spans="1:29" x14ac:dyDescent="0.2">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x14ac:dyDescent="0.2">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2.3699999999999997E-3</v>
      </c>
      <c r="AC935" s="105" t="str">
        <f t="shared" si="62"/>
        <v>HL21</v>
      </c>
    </row>
    <row r="936" spans="1:29" x14ac:dyDescent="0.2">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x14ac:dyDescent="0.2">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2.3699999999999997E-3</v>
      </c>
      <c r="AC937" s="105" t="str">
        <f t="shared" si="62"/>
        <v>HL21</v>
      </c>
    </row>
    <row r="938" spans="1:29" x14ac:dyDescent="0.2">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x14ac:dyDescent="0.2">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2.3699999999999997E-3</v>
      </c>
      <c r="AC939" s="105" t="str">
        <f t="shared" si="62"/>
        <v>HL21</v>
      </c>
    </row>
    <row r="940" spans="1:29" x14ac:dyDescent="0.2">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x14ac:dyDescent="0.2">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2.3699999999999997E-3</v>
      </c>
      <c r="AC941" s="105" t="str">
        <f t="shared" si="62"/>
        <v>HL22</v>
      </c>
    </row>
    <row r="942" spans="1:29" x14ac:dyDescent="0.2">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x14ac:dyDescent="0.2">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2.3699999999999997E-3</v>
      </c>
      <c r="AC943" s="105" t="str">
        <f t="shared" si="62"/>
        <v>HL22</v>
      </c>
    </row>
    <row r="944" spans="1:29" x14ac:dyDescent="0.2">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x14ac:dyDescent="0.2">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2.3699999999999997E-3</v>
      </c>
      <c r="AC945" s="105" t="str">
        <f t="shared" si="62"/>
        <v>HL22</v>
      </c>
    </row>
    <row r="946" spans="1:29" x14ac:dyDescent="0.2">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x14ac:dyDescent="0.2">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2.3699999999999997E-3</v>
      </c>
      <c r="AC947" s="105" t="str">
        <f t="shared" si="62"/>
        <v>HL22</v>
      </c>
    </row>
    <row r="948" spans="1:29" x14ac:dyDescent="0.2">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x14ac:dyDescent="0.2">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2.3699999999999997E-3</v>
      </c>
      <c r="AC949" s="105" t="str">
        <f t="shared" si="62"/>
        <v>HL22</v>
      </c>
    </row>
    <row r="950" spans="1:29" x14ac:dyDescent="0.2">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x14ac:dyDescent="0.2">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2.3699999999999997E-3</v>
      </c>
      <c r="AC951" s="105" t="str">
        <f t="shared" si="62"/>
        <v>HL23</v>
      </c>
    </row>
    <row r="952" spans="1:29" x14ac:dyDescent="0.2">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x14ac:dyDescent="0.2">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2.3699999999999997E-3</v>
      </c>
      <c r="AC953" s="105" t="str">
        <f t="shared" ref="AC953:AC962" si="65">+F953</f>
        <v>HL23</v>
      </c>
    </row>
    <row r="954" spans="1:29" x14ac:dyDescent="0.2">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x14ac:dyDescent="0.2">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2.3699999999999997E-3</v>
      </c>
      <c r="AC955" s="105" t="str">
        <f t="shared" si="65"/>
        <v>HL23</v>
      </c>
    </row>
    <row r="956" spans="1:29" x14ac:dyDescent="0.2">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x14ac:dyDescent="0.2">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2.3699999999999997E-3</v>
      </c>
      <c r="AC957" s="105" t="str">
        <f t="shared" si="65"/>
        <v>HL23</v>
      </c>
    </row>
    <row r="958" spans="1:29" x14ac:dyDescent="0.2">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x14ac:dyDescent="0.2">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2.3699999999999997E-3</v>
      </c>
      <c r="AC959" s="105" t="str">
        <f t="shared" si="65"/>
        <v>HL23</v>
      </c>
    </row>
    <row r="960" spans="1:29" x14ac:dyDescent="0.2">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x14ac:dyDescent="0.2">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2.3699999999999997E-3</v>
      </c>
      <c r="AC961" s="105" t="str">
        <f t="shared" si="65"/>
        <v>HL24</v>
      </c>
    </row>
    <row r="962" spans="1:29" x14ac:dyDescent="0.2">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x14ac:dyDescent="0.2">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2.3699999999999997E-3</v>
      </c>
      <c r="AC963" s="105" t="str">
        <f t="shared" ref="AC963:AC969" si="67">+F963</f>
        <v>HL24</v>
      </c>
    </row>
    <row r="964" spans="1:29" x14ac:dyDescent="0.2">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x14ac:dyDescent="0.2">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2.3699999999999997E-3</v>
      </c>
      <c r="AC965" s="105" t="str">
        <f t="shared" si="67"/>
        <v>HL24</v>
      </c>
    </row>
    <row r="966" spans="1:29" x14ac:dyDescent="0.2">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x14ac:dyDescent="0.2">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2.3699999999999997E-3</v>
      </c>
      <c r="AC967" s="105" t="str">
        <f t="shared" si="67"/>
        <v>HL24</v>
      </c>
    </row>
    <row r="968" spans="1:29" x14ac:dyDescent="0.2">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x14ac:dyDescent="0.2">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2.3699999999999997E-3</v>
      </c>
      <c r="AC969" s="105" t="str">
        <f t="shared" si="67"/>
        <v>HL24</v>
      </c>
    </row>
    <row r="970" spans="1:29" x14ac:dyDescent="0.2">
      <c r="B970" s="103">
        <v>-1</v>
      </c>
      <c r="C970" s="9"/>
      <c r="D970" s="8"/>
      <c r="X970" s="6"/>
      <c r="Y970" s="6"/>
      <c r="Z970" s="6"/>
      <c r="AA970" s="6"/>
      <c r="AB970" s="19"/>
    </row>
    <row r="971" spans="1:29" x14ac:dyDescent="0.2">
      <c r="B971" s="103">
        <v>-1</v>
      </c>
      <c r="C971" s="9"/>
      <c r="D971" s="8"/>
      <c r="L971" t="s">
        <v>193</v>
      </c>
      <c r="M971" t="s">
        <v>193</v>
      </c>
      <c r="S971" s="6"/>
      <c r="T971" s="6"/>
      <c r="U971" s="6"/>
      <c r="V971" s="19">
        <f>+T8</f>
        <v>0</v>
      </c>
      <c r="W971" s="6" t="s">
        <v>158</v>
      </c>
      <c r="AB971" s="19" t="e">
        <f>+AB$980-V$980+#REF!</f>
        <v>#REF!</v>
      </c>
    </row>
    <row r="972" spans="1:29" x14ac:dyDescent="0.2">
      <c r="B972" s="103">
        <v>-1</v>
      </c>
      <c r="C972" s="9"/>
      <c r="D972" s="8"/>
      <c r="S972" s="6"/>
      <c r="T972" s="6"/>
      <c r="U972" s="6"/>
      <c r="V972" s="19">
        <f>+T13</f>
        <v>0</v>
      </c>
      <c r="W972" s="6" t="s">
        <v>155</v>
      </c>
      <c r="AB972" s="19" t="e">
        <f>+AB$980-V$980+#REF!</f>
        <v>#REF!</v>
      </c>
    </row>
    <row r="973" spans="1:29" x14ac:dyDescent="0.2">
      <c r="B973" s="103">
        <v>-1</v>
      </c>
      <c r="C973" s="9"/>
      <c r="D973" s="8"/>
      <c r="S973" s="6"/>
      <c r="T973" s="6"/>
      <c r="U973" s="6"/>
      <c r="V973" s="19">
        <f>T16</f>
        <v>-4.3999999999999999E-5</v>
      </c>
      <c r="W973" s="6" t="s">
        <v>156</v>
      </c>
      <c r="AB973" s="19"/>
    </row>
    <row r="974" spans="1:29" x14ac:dyDescent="0.2">
      <c r="B974" s="103">
        <v>-1</v>
      </c>
      <c r="C974" s="9"/>
      <c r="D974" s="8"/>
      <c r="S974" s="6"/>
      <c r="T974" s="6"/>
      <c r="U974" s="6"/>
      <c r="V974" s="27">
        <f>$T$19</f>
        <v>1.15E-4</v>
      </c>
      <c r="W974" s="6" t="s">
        <v>157</v>
      </c>
      <c r="AB974" s="19"/>
    </row>
    <row r="975" spans="1:29" x14ac:dyDescent="0.2">
      <c r="B975" s="103">
        <v>-1</v>
      </c>
      <c r="C975" s="9"/>
      <c r="D975" s="8"/>
      <c r="S975" s="6"/>
      <c r="T975" s="6"/>
      <c r="U975" s="6"/>
      <c r="V975" s="27">
        <f>$T$21</f>
        <v>4.6099999999999998E-4</v>
      </c>
      <c r="W975" s="6" t="s">
        <v>158</v>
      </c>
      <c r="AB975" s="19"/>
    </row>
    <row r="976" spans="1:29" x14ac:dyDescent="0.2">
      <c r="B976" s="103">
        <v>-1</v>
      </c>
      <c r="C976" s="9"/>
      <c r="D976" s="8"/>
      <c r="S976" s="6"/>
      <c r="T976" s="6"/>
      <c r="U976" s="6"/>
      <c r="V976" s="27">
        <f>$T$23</f>
        <v>-8.1300000000000003E-4</v>
      </c>
      <c r="W976" s="6" t="s">
        <v>159</v>
      </c>
      <c r="AB976" s="19"/>
    </row>
    <row r="977" spans="1:29" x14ac:dyDescent="0.2">
      <c r="B977" s="103">
        <v>-1</v>
      </c>
      <c r="C977" s="9"/>
      <c r="D977" s="8"/>
      <c r="S977" s="6"/>
      <c r="T977" s="6"/>
      <c r="U977" s="6"/>
      <c r="V977" s="27">
        <f>$T$25</f>
        <v>0</v>
      </c>
      <c r="W977" s="6" t="s">
        <v>160</v>
      </c>
      <c r="AB977" s="19"/>
    </row>
    <row r="978" spans="1:29" x14ac:dyDescent="0.2">
      <c r="B978" s="103">
        <v>-1</v>
      </c>
      <c r="C978" s="9"/>
      <c r="D978" s="8"/>
      <c r="S978" s="6"/>
      <c r="T978" s="6"/>
      <c r="U978" s="6"/>
      <c r="V978" s="19">
        <f>T27</f>
        <v>0</v>
      </c>
      <c r="W978" s="6" t="s">
        <v>161</v>
      </c>
      <c r="AB978" s="19"/>
    </row>
    <row r="979" spans="1:29" x14ac:dyDescent="0.2">
      <c r="B979" s="103"/>
      <c r="C979" s="9"/>
      <c r="D979" s="8"/>
      <c r="S979" s="6"/>
      <c r="T979" s="6"/>
      <c r="U979" s="6"/>
      <c r="V979" s="19">
        <f>T29</f>
        <v>2.6050000000000001E-3</v>
      </c>
      <c r="W979" s="6" t="s">
        <v>301</v>
      </c>
      <c r="AB979" s="19"/>
    </row>
    <row r="980" spans="1:29" x14ac:dyDescent="0.2">
      <c r="B980" s="103">
        <v>-1</v>
      </c>
      <c r="C980" s="9"/>
      <c r="D980" s="8"/>
      <c r="F980" s="70"/>
      <c r="G980" s="70"/>
      <c r="H980" s="70"/>
      <c r="I980" s="70"/>
      <c r="J980" s="161">
        <v>500</v>
      </c>
      <c r="K980" s="162">
        <v>3.9872999999999999E-2</v>
      </c>
      <c r="L980" s="161">
        <v>24.09</v>
      </c>
      <c r="M980" s="161">
        <v>24.09</v>
      </c>
      <c r="N980" s="72"/>
      <c r="O980" s="72"/>
      <c r="P980" s="72"/>
      <c r="Q980" s="72"/>
      <c r="R980" s="5"/>
      <c r="S980" s="27">
        <f>+S771</f>
        <v>3.0000000000000001E-3</v>
      </c>
      <c r="T980" s="27">
        <f>+T771</f>
        <v>-3.4320000000000002E-3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-3.4600000000000001E-4</v>
      </c>
      <c r="AB980" s="19">
        <f>SUM(U980:Z980)</f>
        <v>8.2400000000000008E-3</v>
      </c>
    </row>
    <row r="981" spans="1:29" x14ac:dyDescent="0.2">
      <c r="A981" s="1"/>
      <c r="B981" s="103">
        <v>-1</v>
      </c>
      <c r="C981" s="9"/>
      <c r="D981" s="8"/>
      <c r="F981" s="70"/>
      <c r="G981" s="70"/>
      <c r="H981" s="70"/>
      <c r="I981" s="70"/>
      <c r="J981" s="70"/>
      <c r="K981" s="70"/>
      <c r="L981" s="73">
        <v>4000</v>
      </c>
      <c r="M981" s="70"/>
      <c r="N981" s="70"/>
      <c r="O981" s="70"/>
      <c r="P981" s="70"/>
      <c r="Q981" s="70"/>
    </row>
    <row r="982" spans="1:29" x14ac:dyDescent="0.2">
      <c r="B982" s="103">
        <v>-1</v>
      </c>
      <c r="C982" s="9"/>
      <c r="D982" s="8"/>
      <c r="F982" s="12"/>
      <c r="J982" s="12" t="s">
        <v>137</v>
      </c>
      <c r="K982" s="12" t="s">
        <v>197</v>
      </c>
      <c r="L982" s="204" t="s">
        <v>30</v>
      </c>
      <c r="M982" s="204"/>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x14ac:dyDescent="0.2">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x14ac:dyDescent="0.2">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v>
      </c>
      <c r="U985" s="17">
        <f t="shared" si="69"/>
        <v>0</v>
      </c>
      <c r="V985" s="8">
        <f t="shared" si="69"/>
        <v>-0.01</v>
      </c>
      <c r="W985" s="17">
        <f t="shared" si="69"/>
        <v>0</v>
      </c>
      <c r="X985" s="17">
        <f t="shared" si="69"/>
        <v>0</v>
      </c>
      <c r="Y985" s="17">
        <f t="shared" si="69"/>
        <v>0</v>
      </c>
      <c r="Z985" s="17">
        <f t="shared" si="69"/>
        <v>0</v>
      </c>
      <c r="AA985" s="17">
        <f t="shared" si="69"/>
        <v>0</v>
      </c>
      <c r="AB985" s="19">
        <f>SUM(U$980:AA$980)+(-V$980+V948)</f>
        <v>2.3699999999999997E-3</v>
      </c>
      <c r="AC985" s="67" t="str">
        <f>+F985</f>
        <v>HL3</v>
      </c>
    </row>
    <row r="986" spans="1:29" x14ac:dyDescent="0.2">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x14ac:dyDescent="0.2">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v>
      </c>
      <c r="U987" s="17">
        <f t="shared" si="70"/>
        <v>0</v>
      </c>
      <c r="V987" s="8">
        <f t="shared" si="70"/>
        <v>-0.01</v>
      </c>
      <c r="W987" s="17">
        <f t="shared" si="70"/>
        <v>0</v>
      </c>
      <c r="X987" s="17">
        <f t="shared" si="70"/>
        <v>0</v>
      </c>
      <c r="Y987" s="17">
        <f t="shared" si="70"/>
        <v>0</v>
      </c>
      <c r="Z987" s="17">
        <f t="shared" si="70"/>
        <v>0</v>
      </c>
      <c r="AA987" s="17">
        <f t="shared" si="70"/>
        <v>0</v>
      </c>
      <c r="AB987" s="19">
        <f>SUM(U$980:AA$980)+(-V$980+V971)</f>
        <v>2.3699999999999997E-3</v>
      </c>
      <c r="AC987" s="67" t="str">
        <f>+F987</f>
        <v>HL3</v>
      </c>
    </row>
    <row r="988" spans="1:29" x14ac:dyDescent="0.2">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x14ac:dyDescent="0.2">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x14ac:dyDescent="0.2">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x14ac:dyDescent="0.2">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v>
      </c>
      <c r="U991" s="17">
        <f t="shared" si="72"/>
        <v>0</v>
      </c>
      <c r="V991" s="8">
        <f t="shared" si="72"/>
        <v>-0.01</v>
      </c>
      <c r="W991" s="17">
        <f t="shared" si="72"/>
        <v>0</v>
      </c>
      <c r="X991" s="17">
        <f t="shared" si="72"/>
        <v>0</v>
      </c>
      <c r="Y991" s="17">
        <f t="shared" si="72"/>
        <v>0</v>
      </c>
      <c r="Z991" s="17">
        <f t="shared" si="72"/>
        <v>0</v>
      </c>
      <c r="AA991" s="17">
        <f t="shared" si="72"/>
        <v>0</v>
      </c>
      <c r="AB991" s="19">
        <f>SUM(U$980:AA$980)+(-V$980+V973)</f>
        <v>2.3259999999999999E-3</v>
      </c>
      <c r="AC991" s="67" t="str">
        <f>+F991</f>
        <v>HL3</v>
      </c>
    </row>
    <row r="992" spans="1:29" x14ac:dyDescent="0.2">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x14ac:dyDescent="0.2">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v>
      </c>
      <c r="U993" s="17">
        <f t="shared" si="73"/>
        <v>0</v>
      </c>
      <c r="V993" s="8">
        <f t="shared" si="73"/>
        <v>-0.01</v>
      </c>
      <c r="W993" s="17">
        <f t="shared" si="73"/>
        <v>0</v>
      </c>
      <c r="X993" s="17">
        <f t="shared" si="73"/>
        <v>0</v>
      </c>
      <c r="Y993" s="17">
        <f t="shared" si="73"/>
        <v>0</v>
      </c>
      <c r="Z993" s="17">
        <f t="shared" si="73"/>
        <v>0</v>
      </c>
      <c r="AA993" s="17">
        <f t="shared" si="73"/>
        <v>0</v>
      </c>
      <c r="AB993" s="19">
        <f>SUM(U$980:AA$980)+(-V$980+V975)</f>
        <v>2.8309999999999993E-3</v>
      </c>
      <c r="AC993" s="67" t="str">
        <f>+F993</f>
        <v>HL3</v>
      </c>
    </row>
    <row r="994" spans="1:29" x14ac:dyDescent="0.2">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x14ac:dyDescent="0.2">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2.3699999999999997E-3</v>
      </c>
      <c r="AC995" s="67" t="str">
        <f>+F995</f>
        <v>HL37</v>
      </c>
    </row>
    <row r="996" spans="1:29" x14ac:dyDescent="0.2">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x14ac:dyDescent="0.2">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2.3699999999999997E-3</v>
      </c>
      <c r="AC997" s="67" t="str">
        <f>+F997</f>
        <v>HL37</v>
      </c>
    </row>
    <row r="998" spans="1:29" x14ac:dyDescent="0.2">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x14ac:dyDescent="0.2">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x14ac:dyDescent="0.2">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x14ac:dyDescent="0.2">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-7.6299999999999996E-3</v>
      </c>
      <c r="AC1001" s="67" t="str">
        <f>+F1001</f>
        <v>HL37</v>
      </c>
    </row>
    <row r="1002" spans="1:29" x14ac:dyDescent="0.2">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x14ac:dyDescent="0.2">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-7.6299999999999996E-3</v>
      </c>
      <c r="AC1003" s="67" t="str">
        <f>+F1003</f>
        <v>HL37</v>
      </c>
    </row>
    <row r="1004" spans="1:29" x14ac:dyDescent="0.2">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x14ac:dyDescent="0.2">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-7.6299999999999996E-3</v>
      </c>
      <c r="AC1005" s="67" t="str">
        <f>+F1005</f>
        <v>HL38</v>
      </c>
    </row>
    <row r="1006" spans="1:29" x14ac:dyDescent="0.2">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x14ac:dyDescent="0.2">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-7.6299999999999996E-3</v>
      </c>
      <c r="AC1007" s="67" t="str">
        <f>+F1007</f>
        <v>HL38</v>
      </c>
    </row>
    <row r="1008" spans="1:29" x14ac:dyDescent="0.2">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x14ac:dyDescent="0.2">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-7.6299999999999996E-3</v>
      </c>
      <c r="AC1009" s="67" t="str">
        <f>+F1009</f>
        <v>HL38</v>
      </c>
    </row>
    <row r="1010" spans="1:29" x14ac:dyDescent="0.2">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x14ac:dyDescent="0.2">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2.3699999999999997E-3</v>
      </c>
      <c r="AC1011" s="67" t="str">
        <f>+F1011</f>
        <v>HL38</v>
      </c>
    </row>
    <row r="1012" spans="1:29" x14ac:dyDescent="0.2">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x14ac:dyDescent="0.2">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2.3699999999999997E-3</v>
      </c>
      <c r="AC1013" s="67" t="str">
        <f>+F1013</f>
        <v>HL38</v>
      </c>
    </row>
    <row r="1014" spans="1:29" x14ac:dyDescent="0.2">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x14ac:dyDescent="0.2">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2.3699999999999997E-3</v>
      </c>
      <c r="AC1015" s="67" t="str">
        <f>+F1015</f>
        <v>HL39</v>
      </c>
    </row>
    <row r="1016" spans="1:29" x14ac:dyDescent="0.2">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x14ac:dyDescent="0.2">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2.3699999999999997E-3</v>
      </c>
      <c r="AC1017" s="67" t="str">
        <f>+F1017</f>
        <v>HL39</v>
      </c>
    </row>
    <row r="1018" spans="1:29" x14ac:dyDescent="0.2">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x14ac:dyDescent="0.2">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2.3699999999999997E-3</v>
      </c>
      <c r="AC1019" s="67" t="str">
        <f>+F1019</f>
        <v>HL39</v>
      </c>
    </row>
    <row r="1020" spans="1:29" x14ac:dyDescent="0.2">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x14ac:dyDescent="0.2">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2.3699999999999997E-3</v>
      </c>
      <c r="AC1021" s="67" t="str">
        <f>+F1021</f>
        <v>HL39</v>
      </c>
    </row>
    <row r="1022" spans="1:29" x14ac:dyDescent="0.2">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x14ac:dyDescent="0.2">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2.3699999999999997E-3</v>
      </c>
      <c r="AC1023" s="67" t="str">
        <f>+F1023</f>
        <v>HL39</v>
      </c>
    </row>
    <row r="1024" spans="1:29" x14ac:dyDescent="0.2">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x14ac:dyDescent="0.2">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2.3699999999999997E-3</v>
      </c>
      <c r="AC1025" s="67" t="str">
        <f>+F1025</f>
        <v>HL30</v>
      </c>
    </row>
    <row r="1026" spans="1:29" x14ac:dyDescent="0.2">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x14ac:dyDescent="0.2">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2.3699999999999997E-3</v>
      </c>
      <c r="AC1027" s="67" t="str">
        <f>+F1027</f>
        <v>HL30</v>
      </c>
    </row>
    <row r="1028" spans="1:29" x14ac:dyDescent="0.2">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x14ac:dyDescent="0.2">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2.3699999999999997E-3</v>
      </c>
      <c r="AC1029" s="67" t="str">
        <f>+F1029</f>
        <v>HL30</v>
      </c>
    </row>
    <row r="1030" spans="1:29" x14ac:dyDescent="0.2">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x14ac:dyDescent="0.2">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2.3699999999999997E-3</v>
      </c>
      <c r="AC1031" s="67" t="str">
        <f>+F1031</f>
        <v>HL30</v>
      </c>
    </row>
    <row r="1032" spans="1:29" x14ac:dyDescent="0.2">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x14ac:dyDescent="0.2">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2.3699999999999997E-3</v>
      </c>
      <c r="AC1033" s="67" t="str">
        <f>+F1033</f>
        <v>HL30</v>
      </c>
    </row>
    <row r="1034" spans="1:29" x14ac:dyDescent="0.2">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x14ac:dyDescent="0.2">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2.3699999999999997E-3</v>
      </c>
      <c r="AC1035" s="67" t="str">
        <f>+F1035</f>
        <v>HL31</v>
      </c>
    </row>
    <row r="1036" spans="1:29" x14ac:dyDescent="0.2">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x14ac:dyDescent="0.2">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2.3699999999999997E-3</v>
      </c>
      <c r="AC1037" s="67" t="str">
        <f>+F1037</f>
        <v>HL31</v>
      </c>
    </row>
    <row r="1038" spans="1:29" x14ac:dyDescent="0.2">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x14ac:dyDescent="0.2">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2.3699999999999997E-3</v>
      </c>
      <c r="AC1039" s="67" t="str">
        <f>+F1039</f>
        <v>HL31</v>
      </c>
    </row>
    <row r="1040" spans="1:29" x14ac:dyDescent="0.2">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x14ac:dyDescent="0.2">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2.3699999999999997E-3</v>
      </c>
      <c r="AC1041" s="67" t="str">
        <f>+F1041</f>
        <v>HL31</v>
      </c>
    </row>
    <row r="1042" spans="1:29" x14ac:dyDescent="0.2">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x14ac:dyDescent="0.2">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2.3699999999999997E-3</v>
      </c>
      <c r="AC1043" s="67" t="str">
        <f>+F1043</f>
        <v>HL31</v>
      </c>
    </row>
    <row r="1044" spans="1:29" x14ac:dyDescent="0.2">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x14ac:dyDescent="0.2">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2.3699999999999997E-3</v>
      </c>
      <c r="AC1045" s="67" t="str">
        <f>+F1045</f>
        <v>HL31</v>
      </c>
    </row>
    <row r="1046" spans="1:29" x14ac:dyDescent="0.2">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x14ac:dyDescent="0.2">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2.3699999999999997E-3</v>
      </c>
      <c r="AC1047" s="67" t="str">
        <f>+F1047</f>
        <v>HL31</v>
      </c>
    </row>
    <row r="1048" spans="1:29" x14ac:dyDescent="0.2">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x14ac:dyDescent="0.2">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2.3699999999999997E-3</v>
      </c>
      <c r="AC1049" s="67" t="str">
        <f>+F1049</f>
        <v>HL31</v>
      </c>
    </row>
    <row r="1050" spans="1:29" x14ac:dyDescent="0.2">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x14ac:dyDescent="0.2">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2.3699999999999997E-3</v>
      </c>
      <c r="AC1051" s="67" t="str">
        <f>+F1051</f>
        <v>HL31</v>
      </c>
    </row>
    <row r="1052" spans="1:29" x14ac:dyDescent="0.2">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x14ac:dyDescent="0.2">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2.3699999999999997E-3</v>
      </c>
      <c r="AC1053" s="67" t="str">
        <f>+F1053</f>
        <v>HL31</v>
      </c>
    </row>
    <row r="1054" spans="1:29" x14ac:dyDescent="0.2">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x14ac:dyDescent="0.2">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2.3699999999999997E-3</v>
      </c>
      <c r="AC1055" s="67" t="str">
        <f>+F1055</f>
        <v>HL32</v>
      </c>
    </row>
    <row r="1056" spans="1:29" x14ac:dyDescent="0.2">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x14ac:dyDescent="0.2">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2.3699999999999997E-3</v>
      </c>
      <c r="AC1057" s="67" t="str">
        <f>+F1057</f>
        <v>HL32</v>
      </c>
    </row>
    <row r="1058" spans="1:29" x14ac:dyDescent="0.2">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x14ac:dyDescent="0.2">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2.3699999999999997E-3</v>
      </c>
      <c r="AC1059" s="67" t="str">
        <f>+F1059</f>
        <v>HL32</v>
      </c>
    </row>
    <row r="1060" spans="1:29" x14ac:dyDescent="0.2">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x14ac:dyDescent="0.2">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2.3699999999999997E-3</v>
      </c>
      <c r="AC1061" s="67" t="str">
        <f>+F1061</f>
        <v>HL32</v>
      </c>
    </row>
    <row r="1062" spans="1:29" x14ac:dyDescent="0.2">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x14ac:dyDescent="0.2">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2.3699999999999997E-3</v>
      </c>
      <c r="AC1063" s="67" t="str">
        <f>+F1063</f>
        <v>HL32</v>
      </c>
    </row>
    <row r="1064" spans="1:29" x14ac:dyDescent="0.2">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x14ac:dyDescent="0.2">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2.3699999999999997E-3</v>
      </c>
      <c r="AC1065" s="67" t="str">
        <f>+F1065</f>
        <v>HL33</v>
      </c>
    </row>
    <row r="1066" spans="1:29" x14ac:dyDescent="0.2">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x14ac:dyDescent="0.2">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2.3699999999999997E-3</v>
      </c>
      <c r="AC1067" s="67" t="str">
        <f>+F1067</f>
        <v>HL33</v>
      </c>
    </row>
    <row r="1068" spans="1:29" x14ac:dyDescent="0.2">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x14ac:dyDescent="0.2">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2.3699999999999997E-3</v>
      </c>
      <c r="AC1069" s="67" t="str">
        <f>+F1069</f>
        <v>HL33</v>
      </c>
    </row>
    <row r="1070" spans="1:29" x14ac:dyDescent="0.2">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x14ac:dyDescent="0.2">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2.3699999999999997E-3</v>
      </c>
      <c r="AC1071" s="67" t="str">
        <f>+F1071</f>
        <v>HL33</v>
      </c>
    </row>
    <row r="1072" spans="1:29" x14ac:dyDescent="0.2">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x14ac:dyDescent="0.2">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2.3699999999999997E-3</v>
      </c>
      <c r="AC1073" s="67" t="str">
        <f>+F1073</f>
        <v>HL33</v>
      </c>
    </row>
    <row r="1074" spans="1:29" x14ac:dyDescent="0.2">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x14ac:dyDescent="0.2">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2.3699999999999997E-3</v>
      </c>
      <c r="AC1075" s="67" t="str">
        <f>+F1075</f>
        <v>HL34</v>
      </c>
    </row>
    <row r="1076" spans="1:29" x14ac:dyDescent="0.2">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x14ac:dyDescent="0.2">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2.3699999999999997E-3</v>
      </c>
      <c r="AC1077" s="67" t="str">
        <f>+F1077</f>
        <v>HL34</v>
      </c>
    </row>
    <row r="1078" spans="1:29" x14ac:dyDescent="0.2">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x14ac:dyDescent="0.2">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2.3699999999999997E-3</v>
      </c>
      <c r="AC1079" s="67" t="str">
        <f>+F1079</f>
        <v>HL34</v>
      </c>
    </row>
    <row r="1080" spans="1:29" x14ac:dyDescent="0.2">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x14ac:dyDescent="0.2">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2.3699999999999997E-3</v>
      </c>
      <c r="AC1081" s="67" t="str">
        <f>+F1081</f>
        <v>HL34</v>
      </c>
    </row>
    <row r="1082" spans="1:29" x14ac:dyDescent="0.2">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x14ac:dyDescent="0.2">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2.3699999999999997E-3</v>
      </c>
      <c r="AC1083" s="67" t="str">
        <f>+F1083</f>
        <v>HL34</v>
      </c>
    </row>
    <row r="1084" spans="1:29" s="167" customFormat="1" x14ac:dyDescent="0.2">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
      <c r="B1085" s="103">
        <v>-1</v>
      </c>
      <c r="C1085" s="9"/>
      <c r="D1085" s="8"/>
      <c r="S1085" s="6"/>
      <c r="T1085" s="6"/>
      <c r="U1085" s="6"/>
      <c r="V1085" s="27" t="s">
        <v>254</v>
      </c>
      <c r="W1085" s="6"/>
      <c r="AB1085" s="19"/>
    </row>
    <row r="1086" spans="1:29" x14ac:dyDescent="0.2">
      <c r="B1086" s="103">
        <v>-1</v>
      </c>
      <c r="C1086" s="9"/>
      <c r="D1086" s="8"/>
      <c r="F1086" s="70"/>
      <c r="G1086" s="70"/>
      <c r="H1086" s="70"/>
      <c r="I1086" s="70"/>
      <c r="J1086" s="161">
        <v>508.21</v>
      </c>
      <c r="K1086" s="162">
        <v>6.021E-2</v>
      </c>
      <c r="L1086" s="161">
        <v>15.06</v>
      </c>
      <c r="M1086" s="161">
        <v>15.06</v>
      </c>
      <c r="N1086" s="72"/>
      <c r="O1086" s="72"/>
      <c r="P1086" s="72"/>
      <c r="Q1086" s="72"/>
      <c r="R1086" s="5"/>
      <c r="S1086" s="27">
        <f>S980</f>
        <v>3.0000000000000001E-3</v>
      </c>
      <c r="T1086" s="27">
        <f>T980</f>
        <v>-3.4320000000000002E-3</v>
      </c>
      <c r="U1086" s="19">
        <f>$S$30</f>
        <v>1.305E-3</v>
      </c>
      <c r="V1086" s="27">
        <f>$T$16</f>
        <v>-4.3999999999999999E-5</v>
      </c>
      <c r="W1086" s="27">
        <v>0</v>
      </c>
      <c r="X1086" s="27">
        <f>+X980</f>
        <v>2.5569999999999998E-3</v>
      </c>
      <c r="Y1086" s="27">
        <f>+Y980</f>
        <v>-1.771E-3</v>
      </c>
      <c r="Z1086" s="27">
        <f>+Z980</f>
        <v>6.2500000000000001E-4</v>
      </c>
      <c r="AA1086" s="27">
        <f>+AA980</f>
        <v>-3.4600000000000001E-4</v>
      </c>
      <c r="AB1086" s="19">
        <f>SUM(V1086:Z1086)</f>
        <v>1.3669999999999997E-3</v>
      </c>
    </row>
    <row r="1087" spans="1:29" x14ac:dyDescent="0.2">
      <c r="A1087" s="1"/>
      <c r="B1087" s="103">
        <v>-1</v>
      </c>
      <c r="C1087" s="9"/>
      <c r="D1087" s="8"/>
      <c r="F1087" s="70"/>
      <c r="G1087" s="70"/>
      <c r="H1087" s="70"/>
      <c r="I1087" s="70"/>
      <c r="J1087" s="70"/>
      <c r="K1087" s="70"/>
      <c r="L1087" s="73">
        <v>4000</v>
      </c>
      <c r="M1087" s="70"/>
      <c r="N1087" s="70"/>
      <c r="O1087" s="70"/>
      <c r="P1087" s="70"/>
      <c r="Q1087" s="70"/>
    </row>
    <row r="1088" spans="1:29" x14ac:dyDescent="0.2">
      <c r="B1088" s="103">
        <v>-1</v>
      </c>
      <c r="C1088" s="9"/>
      <c r="D1088" s="8"/>
      <c r="F1088" s="12"/>
      <c r="J1088" s="12" t="s">
        <v>137</v>
      </c>
      <c r="K1088" s="12" t="s">
        <v>197</v>
      </c>
      <c r="L1088" s="204" t="s">
        <v>30</v>
      </c>
      <c r="M1088" s="204"/>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x14ac:dyDescent="0.2">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x14ac:dyDescent="0.2">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x14ac:dyDescent="0.2">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x14ac:dyDescent="0.2">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x14ac:dyDescent="0.2">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x14ac:dyDescent="0.2">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x14ac:dyDescent="0.2">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x14ac:dyDescent="0.2">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x14ac:dyDescent="0.2">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x14ac:dyDescent="0.2">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x14ac:dyDescent="0.2">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x14ac:dyDescent="0.2">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x14ac:dyDescent="0.2">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x14ac:dyDescent="0.2">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x14ac:dyDescent="0.2">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x14ac:dyDescent="0.2">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x14ac:dyDescent="0.2">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x14ac:dyDescent="0.2">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x14ac:dyDescent="0.2">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x14ac:dyDescent="0.2">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x14ac:dyDescent="0.2">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x14ac:dyDescent="0.2">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x14ac:dyDescent="0.2">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x14ac:dyDescent="0.2">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x14ac:dyDescent="0.2">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x14ac:dyDescent="0.2">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x14ac:dyDescent="0.2">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x14ac:dyDescent="0.2">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x14ac:dyDescent="0.2">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x14ac:dyDescent="0.2">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x14ac:dyDescent="0.2">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x14ac:dyDescent="0.2">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x14ac:dyDescent="0.2">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x14ac:dyDescent="0.2">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1.0209999999999998E-3</v>
      </c>
      <c r="AC1123" s="67" t="str">
        <f>+F1123</f>
        <v>HL49</v>
      </c>
    </row>
    <row r="1124" spans="1:29" x14ac:dyDescent="0.2">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x14ac:dyDescent="0.2">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x14ac:dyDescent="0.2">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x14ac:dyDescent="0.2">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x14ac:dyDescent="0.2">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x14ac:dyDescent="0.2">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x14ac:dyDescent="0.2">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x14ac:dyDescent="0.2">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x14ac:dyDescent="0.2">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x14ac:dyDescent="0.2">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x14ac:dyDescent="0.2">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x14ac:dyDescent="0.2">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x14ac:dyDescent="0.2">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x14ac:dyDescent="0.2">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x14ac:dyDescent="0.2">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x14ac:dyDescent="0.2">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x14ac:dyDescent="0.2">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x14ac:dyDescent="0.2">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x14ac:dyDescent="0.2">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x14ac:dyDescent="0.2">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x14ac:dyDescent="0.2">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x14ac:dyDescent="0.2">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x14ac:dyDescent="0.2">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x14ac:dyDescent="0.2">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x14ac:dyDescent="0.2">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x14ac:dyDescent="0.2">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2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x14ac:dyDescent="0.2">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x14ac:dyDescent="0.2">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x14ac:dyDescent="0.2">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x14ac:dyDescent="0.2">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x14ac:dyDescent="0.2">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x14ac:dyDescent="0.2">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x14ac:dyDescent="0.2">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x14ac:dyDescent="0.2">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x14ac:dyDescent="0.2">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x14ac:dyDescent="0.2">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x14ac:dyDescent="0.2">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x14ac:dyDescent="0.2">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x14ac:dyDescent="0.2">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x14ac:dyDescent="0.2">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x14ac:dyDescent="0.2">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x14ac:dyDescent="0.2">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x14ac:dyDescent="0.2">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x14ac:dyDescent="0.2">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x14ac:dyDescent="0.2">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2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x14ac:dyDescent="0.2">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x14ac:dyDescent="0.2">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x14ac:dyDescent="0.2">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x14ac:dyDescent="0.2">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x14ac:dyDescent="0.2">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x14ac:dyDescent="0.2">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x14ac:dyDescent="0.2">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x14ac:dyDescent="0.2">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x14ac:dyDescent="0.2">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x14ac:dyDescent="0.2">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3.5" thickBot="1" x14ac:dyDescent="0.2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
      <c r="B1182" s="103"/>
    </row>
    <row r="1183" spans="1:29" x14ac:dyDescent="0.2">
      <c r="B1183" s="103"/>
    </row>
    <row r="1184" spans="1:29" x14ac:dyDescent="0.2">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209"/>
      <c r="Y1184" s="209"/>
    </row>
    <row r="1185" spans="1:25" x14ac:dyDescent="0.2">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x14ac:dyDescent="0.2">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210"/>
      <c r="Y1186" s="210"/>
    </row>
    <row r="1187" spans="1:25" x14ac:dyDescent="0.2">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x14ac:dyDescent="0.2">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
      <c r="B1189" s="40"/>
      <c r="C1189" s="40"/>
      <c r="X1189" s="208"/>
      <c r="Y1189" s="208"/>
    </row>
    <row r="1190" spans="1:25" x14ac:dyDescent="0.2">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I65" sqref="I65"/>
    </sheetView>
  </sheetViews>
  <sheetFormatPr defaultRowHeight="12.75" x14ac:dyDescent="0.2"/>
  <cols>
    <col min="1" max="1" width="12" bestFit="1" customWidth="1"/>
    <col min="2" max="2" width="9.5703125" bestFit="1" customWidth="1"/>
  </cols>
  <sheetData>
    <row r="1" spans="1:2" x14ac:dyDescent="0.2">
      <c r="A1" t="s">
        <v>31</v>
      </c>
      <c r="B1" s="1" t="s">
        <v>195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C1" sqref="C1"/>
      <selection pane="bottomLeft" activeCell="A4" sqref="A4"/>
      <selection pane="bottomRight" activeCell="ET20" sqref="ET20:ET21"/>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287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288</v>
      </c>
    </row>
    <row r="45" spans="1:34" x14ac:dyDescent="0.2">
      <c r="AH45" t="s">
        <v>289</v>
      </c>
    </row>
    <row r="46" spans="1:34" x14ac:dyDescent="0.2">
      <c r="X46" s="10">
        <f>+X2</f>
        <v>2009</v>
      </c>
      <c r="Y46" t="s">
        <v>290</v>
      </c>
      <c r="AD46" s="10">
        <f>+AD2</f>
        <v>2009</v>
      </c>
      <c r="AE46" t="s">
        <v>291</v>
      </c>
    </row>
    <row r="47" spans="1:34" x14ac:dyDescent="0.2">
      <c r="X47" s="39" t="s">
        <v>278</v>
      </c>
      <c r="Y47" s="39" t="s">
        <v>279</v>
      </c>
      <c r="AD47" s="39" t="s">
        <v>278</v>
      </c>
      <c r="AE47" s="39" t="s">
        <v>279</v>
      </c>
    </row>
    <row r="49" spans="1:31" x14ac:dyDescent="0.2">
      <c r="A49">
        <v>41</v>
      </c>
      <c r="B49" t="s">
        <v>106</v>
      </c>
      <c r="X49" s="46">
        <v>39842</v>
      </c>
      <c r="Y49" s="45">
        <f>WORKDAY(X49,1,X$33:X$43)</f>
        <v>39843</v>
      </c>
      <c r="AD49" s="46">
        <v>40025</v>
      </c>
      <c r="AE49" s="45">
        <f>WORKDAY(AD49,1,AD$33:AD$43)</f>
        <v>40028</v>
      </c>
    </row>
    <row r="50" spans="1:31" x14ac:dyDescent="0.2">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Aug. - New Basic Rates</vt:lpstr>
      <vt:lpstr>Pwr Factor</vt:lpstr>
      <vt:lpstr>Dates</vt:lpstr>
      <vt:lpstr>'Calc. Aug. - New Basic Rates'!Print_Area</vt:lpstr>
      <vt:lpstr>'Calc. Aug.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2024-08-29T19:55:43Z</dcterms:modified>
  <cp:category/>
  <cp:contentStatus/>
</cp:coreProperties>
</file>